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285" windowWidth="15480" windowHeight="8700" activeTab="0"/>
  </bookViews>
  <sheets>
    <sheet name="ORÇAMENTO" sheetId="1" r:id="rId1"/>
    <sheet name="CRONOGRAMA" sheetId="12" r:id="rId2"/>
    <sheet name="LEIS SOC" sheetId="13" r:id="rId3"/>
    <sheet name="BDI" sheetId="14" r:id="rId4"/>
    <sheet name="CPU" sheetId="2" r:id="rId5"/>
    <sheet name="SANITÁRIA" sheetId="5" r:id="rId6"/>
    <sheet name="HIDRAULICA." sheetId="6" r:id="rId7"/>
    <sheet name="DRENAGEM" sheetId="7" r:id="rId8"/>
    <sheet name="ELETRICA" sheetId="8" r:id="rId9"/>
    <sheet name="SOM E CITV" sheetId="9" r:id="rId10"/>
    <sheet name="INCENDIO" sheetId="10" r:id="rId11"/>
    <sheet name="COMP" sheetId="11" r:id="rId12"/>
    <sheet name="SPDA" sheetId="15" r:id="rId13"/>
  </sheets>
  <externalReferences>
    <externalReference r:id="rId16"/>
    <externalReference r:id="rId17"/>
    <externalReference r:id="rId18"/>
  </externalReferences>
  <definedNames/>
  <calcPr calcId="152511"/>
</workbook>
</file>

<file path=xl/sharedStrings.xml><?xml version="1.0" encoding="utf-8"?>
<sst xmlns="http://schemas.openxmlformats.org/spreadsheetml/2006/main" count="3919" uniqueCount="975">
  <si>
    <t>ITEM</t>
  </si>
  <si>
    <t>QUANT.</t>
  </si>
  <si>
    <t>1.0</t>
  </si>
  <si>
    <t>1.1</t>
  </si>
  <si>
    <t>m²</t>
  </si>
  <si>
    <t>1.2</t>
  </si>
  <si>
    <t>Locação da obra</t>
  </si>
  <si>
    <t>m³</t>
  </si>
  <si>
    <t>2.0</t>
  </si>
  <si>
    <t>3.0</t>
  </si>
  <si>
    <t>3.2</t>
  </si>
  <si>
    <t>4.0</t>
  </si>
  <si>
    <t>4.1</t>
  </si>
  <si>
    <t>4.2</t>
  </si>
  <si>
    <t>5.0</t>
  </si>
  <si>
    <t>5.1</t>
  </si>
  <si>
    <t>5.2</t>
  </si>
  <si>
    <t>6.0</t>
  </si>
  <si>
    <t>6.1</t>
  </si>
  <si>
    <t>7.0</t>
  </si>
  <si>
    <t>7.1</t>
  </si>
  <si>
    <t>8.0</t>
  </si>
  <si>
    <t>COBERTURA</t>
  </si>
  <si>
    <t>8.1</t>
  </si>
  <si>
    <t>8.2</t>
  </si>
  <si>
    <t>8.3</t>
  </si>
  <si>
    <t>m</t>
  </si>
  <si>
    <t>8.4</t>
  </si>
  <si>
    <t>9.0</t>
  </si>
  <si>
    <t>REVESTIMENTO</t>
  </si>
  <si>
    <t>9.1</t>
  </si>
  <si>
    <t>9.2</t>
  </si>
  <si>
    <t>10.0</t>
  </si>
  <si>
    <t>PINTURA</t>
  </si>
  <si>
    <t>und</t>
  </si>
  <si>
    <t>2.4</t>
  </si>
  <si>
    <t>8.5</t>
  </si>
  <si>
    <t>DISCRIMINAÇÃO</t>
  </si>
  <si>
    <t>un</t>
  </si>
  <si>
    <t>1.3</t>
  </si>
  <si>
    <t>Administração local da obra</t>
  </si>
  <si>
    <t>mês</t>
  </si>
  <si>
    <t>Placa da obra</t>
  </si>
  <si>
    <t>Bota fora</t>
  </si>
  <si>
    <t>FUNDAÇÃO</t>
  </si>
  <si>
    <t>Escavação manual de vala/cava</t>
  </si>
  <si>
    <t>Aterro compactado</t>
  </si>
  <si>
    <t>2.3</t>
  </si>
  <si>
    <t>Concreto armado  para estruturas fck: 25 Mpa (sapatas e cintas e laje de fundação)</t>
  </si>
  <si>
    <t>ESTRUTURA E FECHAMENTOS</t>
  </si>
  <si>
    <t>Alvenaria de tijolo cerâmico esp=14 cm</t>
  </si>
  <si>
    <t>Concreto Armado para estruturas fck: 25 Mpa (pilares vigas)</t>
  </si>
  <si>
    <t>Chapisco</t>
  </si>
  <si>
    <t>ESQUADRIAS</t>
  </si>
  <si>
    <t>kg</t>
  </si>
  <si>
    <t>Selador acrílico</t>
  </si>
  <si>
    <t>Pintura em textura acrílica</t>
  </si>
  <si>
    <t>Pintura antioxidante em  estrutura metálica</t>
  </si>
  <si>
    <t xml:space="preserve"> </t>
  </si>
  <si>
    <t>DIVERSOS</t>
  </si>
  <si>
    <t>Corrimão em tubo inox 3" fixado em estrutura metálica de tubo inox 2"</t>
  </si>
  <si>
    <t>9.4</t>
  </si>
  <si>
    <t>Calçada de piso cimentado semi-áspero, inclusive camada de regularização, elementos de contenção, aterro e reaterro</t>
  </si>
  <si>
    <t>M</t>
  </si>
  <si>
    <t>7.4</t>
  </si>
  <si>
    <t>INSTALAÇÃO ELÉTRICA</t>
  </si>
  <si>
    <t xml:space="preserve">INSTALAÇÃO HIDRÁULICA </t>
  </si>
  <si>
    <t>INSTALAÇÃO SANITARIA</t>
  </si>
  <si>
    <t xml:space="preserve">COMPOSIÇÕES UNITÁRIAS </t>
  </si>
  <si>
    <t>IFPI</t>
  </si>
  <si>
    <t>Taxas de ART (unid.)</t>
  </si>
  <si>
    <t>COD.</t>
  </si>
  <si>
    <t>INSUMO</t>
  </si>
  <si>
    <t>UNIDADE</t>
  </si>
  <si>
    <t>ÍNDICE</t>
  </si>
  <si>
    <t>CUSTO UNITÁRIO</t>
  </si>
  <si>
    <t>CUSTO TOTAL</t>
  </si>
  <si>
    <t>Equipamentos</t>
  </si>
  <si>
    <t>mercado</t>
  </si>
  <si>
    <t xml:space="preserve">Taxas de Anotação de responsabilidade técnica (ART) da Obra no CREA </t>
  </si>
  <si>
    <t>%</t>
  </si>
  <si>
    <t>Custo total</t>
  </si>
  <si>
    <t>Projeto executivo estruturas metálicas  (un)</t>
  </si>
  <si>
    <t>Material</t>
  </si>
  <si>
    <t>Mercado</t>
  </si>
  <si>
    <t>Pranchas de projetos - Plotagem</t>
  </si>
  <si>
    <t>Mão de Obra</t>
  </si>
  <si>
    <t>Engenheiro civil pleno</t>
  </si>
  <si>
    <t>h</t>
  </si>
  <si>
    <t>Desenhista detalhista</t>
  </si>
  <si>
    <t>Cimento portland composto CP II-32</t>
  </si>
  <si>
    <t>cj</t>
  </si>
  <si>
    <t>m3</t>
  </si>
  <si>
    <t>Carpinteiro de formas com encargos complementares</t>
  </si>
  <si>
    <t>Pedreiro com encargos complementares</t>
  </si>
  <si>
    <t>Servente com encargos complementares</t>
  </si>
  <si>
    <t>Administração local da obra (mês)</t>
  </si>
  <si>
    <t>Engenheiro de obra júnior</t>
  </si>
  <si>
    <t>Encarregado geral</t>
  </si>
  <si>
    <t>COD</t>
  </si>
  <si>
    <t xml:space="preserve">Areia media - posto jazida/fornecedor (sem frete) </t>
  </si>
  <si>
    <t>Pedra britada n. 2 (19 a 38 mm) posto pedreira/fornecedor, sem frete</t>
  </si>
  <si>
    <t>Equipamento</t>
  </si>
  <si>
    <t>Mão-de-Obra</t>
  </si>
  <si>
    <t>Arame recozido 18 bwg, 1,25 mm (0,01 kg/m)</t>
  </si>
  <si>
    <t>Prego polido com cabeca 18 x 27</t>
  </si>
  <si>
    <t>SERVENTE COM ENCARGOS COMPLEMENTARES</t>
  </si>
  <si>
    <t>ccr</t>
  </si>
  <si>
    <t xml:space="preserve">  Aterro compactado (m³)</t>
  </si>
  <si>
    <t>Areia fina - posto jazida/fornecedor (sem frete)</t>
  </si>
  <si>
    <t>SINAPI   73972/001</t>
  </si>
  <si>
    <t>Concreto fck=25 Mpa, virado em betoneira, sem lançamento (m³)</t>
  </si>
  <si>
    <t>Pedra britada n. 1 (9,5 a 19 mm) posto pedreira/fornecedor, sem frete</t>
  </si>
  <si>
    <t>Betoneira 580 l com motor elétrico trifásico, potencia de 7,5 hp,com carregador mecânico (locação)</t>
  </si>
  <si>
    <t>Operador de maquinas e equipamentos com encargos complementares</t>
  </si>
  <si>
    <t>SINAPI   73942/002</t>
  </si>
  <si>
    <t>Armação de aço ca-60 diam. 3,4 a 6,0mm.- Fornecimento / corte (c/perda de 10%) / dobra / colocação. (kg)</t>
  </si>
  <si>
    <t>Aço CA-60, 5,0 mm, vergalhão</t>
  </si>
  <si>
    <t>Ajudante de armador com encargos complementares</t>
  </si>
  <si>
    <t>Armador com encargos complementares</t>
  </si>
  <si>
    <t>SINAPI   74254/001</t>
  </si>
  <si>
    <t>Armação aço CA-50 diam.16,0 (5/8) à 25,0mm (1) - Fornecimento/ corte(perda de 10%) / dobra / colocação. (kg)</t>
  </si>
  <si>
    <t>Aço CA-50, 20,0 mm, vergalhão</t>
  </si>
  <si>
    <t>SINAPI   74157/003</t>
  </si>
  <si>
    <t>Lançamento/aplicação manual de concreto em estruturas (m³)</t>
  </si>
  <si>
    <t>Vibrador de imersão c/ motor elétrico 2hp monofásico qualquer diam c/ mangote</t>
  </si>
  <si>
    <t>SINAPI   84220</t>
  </si>
  <si>
    <t>Forma para estruturas de concreto (pilar, viga e laje) em chapa de madeira compensada plastificada, de 1,10 x 2,20, espessura = 12 mm, 08 utilizações. (Fabricação, montagem e desmontagem - Exclusive escoramento) (m²)</t>
  </si>
  <si>
    <t>Chapa de madeira compensada plastificada para forma de concreto, de *1,10 x 2,20* m, e = 12 mm</t>
  </si>
  <si>
    <t>Desmoldante protetor para formas de madeira, de base oleosa emulsionada em água</t>
  </si>
  <si>
    <t>l</t>
  </si>
  <si>
    <t>Peca de madeira nativa / regional 7,5 x 7,5cm (3x3) não aparelhada (p/forma)</t>
  </si>
  <si>
    <t>!Em processo de desativação! Peca de madeira nativa/regional 2,5 x 10cm (1x4") não aparelhada (sarrafo-p/forma)</t>
  </si>
  <si>
    <t>Tabua madeira 2a qualidade 2,5 x 30,0cm (1 x 12") não aparelhada</t>
  </si>
  <si>
    <t>Prego polido com cabeça 17 x 21</t>
  </si>
  <si>
    <t>Ajudante de carpinteiro com encargos complementares</t>
  </si>
  <si>
    <t>SINAPI   74023/001</t>
  </si>
  <si>
    <t>Transporte horizontal de materiais diversos a 30m (m³)</t>
  </si>
  <si>
    <t>Material e Mão de Obra</t>
  </si>
  <si>
    <t>73972/001</t>
  </si>
  <si>
    <t>Concreto fck=25 Mpa, virado em betoneira, sem lançamento</t>
  </si>
  <si>
    <t>73942/002</t>
  </si>
  <si>
    <t>Armação de aço CA-60 diam. 3,4 a 6,0mm. Fornecimento / corte (c/perda de 10%) / dobra / colocação.</t>
  </si>
  <si>
    <t>74254/001</t>
  </si>
  <si>
    <t>Armação aço CA-50 diam.16,0 (5/8) à 25,0mm (1). Fornecimento/ corte(perda de 10%) / dobra / colocação.</t>
  </si>
  <si>
    <t>74157/003</t>
  </si>
  <si>
    <t>Lançamento/aplicação manual de concreto em estruturas</t>
  </si>
  <si>
    <t>Forma para estruturas de concreto (pilar, viga e laje) em chapa de madeira compensada plastificada, de 1,10 x 2,20, espessura = 12 mm, 08 utilizações. (Fabricação, montagem e desmontagem - Exclusive escoramento)</t>
  </si>
  <si>
    <t>74023/001</t>
  </si>
  <si>
    <t>Transporte horizontal de materiais diversos a 30m</t>
  </si>
  <si>
    <t>Concreto fck=25 Mpa, virado em betoneira, com lançamento (m³)</t>
  </si>
  <si>
    <t>SINAPI 5651</t>
  </si>
  <si>
    <t>Forma em tábuas de madeira p/ concretagem da fundação (Reap. 5x) (m²)</t>
  </si>
  <si>
    <t>Desmoldante protetor para formas de madeira, de base oleosa emulsionada em agua</t>
  </si>
  <si>
    <t>Peça de madeira nativa / regional 7,5 x 7,5cm (3x3) nao aparelhada (p/forma)</t>
  </si>
  <si>
    <t>Peça de madeira nativa/regional 2,5 x 5cm (1x2") nao aparelhada (sarrafo-p/forma)</t>
  </si>
  <si>
    <t>Prego polido com cabeca 18 x 27 mm</t>
  </si>
  <si>
    <t>Tabua madeira 2a qualidade 2,5 x 30,0cm (1 x 12") nao aparelhada</t>
  </si>
  <si>
    <t>SINAPI  74254/002</t>
  </si>
  <si>
    <t>Armação aço  CA-50 p/ fundação  (kg)</t>
  </si>
  <si>
    <t>Aço CA-50, 10,0 mm, vergalhão</t>
  </si>
  <si>
    <t>Armação aço  CA-60 (kg)</t>
  </si>
  <si>
    <t>KG</t>
  </si>
  <si>
    <t>M³</t>
  </si>
  <si>
    <t>SINAPI   87292</t>
  </si>
  <si>
    <t>Argamassa traço 1:2:8 (cimento, cal e areia média) para emboço/massa única/assentamento de alvenaria de vedação, preparo mecânico com betoneira 400 l. Af_06/2014 (m³)</t>
  </si>
  <si>
    <t>Cal hidratada, de 1a. Qualidade, para argamassa</t>
  </si>
  <si>
    <t>Betoneira capacidade nominal de 400 l, capacidade de mistura 310 l, motor elétrico trifásico potência de 2 hp, sem carregador - chp diurno. Af_10/2014</t>
  </si>
  <si>
    <t>chp</t>
  </si>
  <si>
    <t>Betoneira capacidade nominal de 400 l, capacidade de mistura 310 l, motor elétrico trifásico potência de 2 hp, sem carregador - chi diurno. Af_10/2014</t>
  </si>
  <si>
    <t>chi</t>
  </si>
  <si>
    <t>Operador de betoneira estacionária/misturador com encargos complementares</t>
  </si>
  <si>
    <t>Argamassa traço 1:2:8 (cimento, cal e areia média) para emboço/massa única/assentamento de alvenaria de vedação, preparo mecânico com betoneira 400 l. Af_06/2014</t>
  </si>
  <si>
    <t>Alvenaria de tijolo cerâmico esp= 14 cm  (m²)</t>
  </si>
  <si>
    <t>Bloco cerâmico (alvenaria vedação), 6 furos, de 9 x 14 x 19 cm</t>
  </si>
  <si>
    <t>SINAPI   87375</t>
  </si>
  <si>
    <t>Argamassa traço 1:6(cimento e areia média), preparo manual. Af_08/2014 (m³)</t>
  </si>
  <si>
    <t>SINAPI   74007/001</t>
  </si>
  <si>
    <t>Forma em tábuas de madeira p/ concretagem de vigas e pilares (Reap. 10x)(m²)</t>
  </si>
  <si>
    <t>Peca de madeira nativa / regional 7,5 x 7,5cm  não aparelhada (p/forma)</t>
  </si>
  <si>
    <t>Peça de madeira nativa/regional 2,5 x 7cm  não aparelhada (sarrafo-p/forma)</t>
  </si>
  <si>
    <t>Prego polido com cabeça 18 x 27</t>
  </si>
  <si>
    <t>Armação aço  CA-50  p/ superestrutura (kg)</t>
  </si>
  <si>
    <t>Aço CA-50, 8,0 mm, vergalhão</t>
  </si>
  <si>
    <t>Impermeabilizador com encargos complementares</t>
  </si>
  <si>
    <t>SINAPI   87373</t>
  </si>
  <si>
    <t>Argamassa traço 1:4 (cimento e areia média) para contrapiso, preparo manual. Af_06/2014 (m³)</t>
  </si>
  <si>
    <t>SINAPI   84191</t>
  </si>
  <si>
    <t>Piso em granilite, marmorite ou granitina espessura 8 mm, incluso juntas de dilatação plásticas (m²)</t>
  </si>
  <si>
    <t>Argamassa traço 1:4 (cimento e areia média) para contrapiso, preparo manual. Af_06/2014</t>
  </si>
  <si>
    <t>Junta plástica de dilatação, para pisos, de 3/4" x 1/8" (17 x 3 mm)</t>
  </si>
  <si>
    <t>Piso em granilite, marmorite ou granitina, agregado cor preto, cinza, palha ou branco, e= *8 mm</t>
  </si>
  <si>
    <t>SINAPI   88631</t>
  </si>
  <si>
    <t>Argamassa traço 1:4 (cimento e areia média), preparo manual. Af_08/2014 (m³)</t>
  </si>
  <si>
    <t>Operador de máquinas e equipamentos com encargos complementares</t>
  </si>
  <si>
    <t>SINAPI   73922/004</t>
  </si>
  <si>
    <t>Calçada em piso cimentado  (m²)</t>
  </si>
  <si>
    <t>Argamassa traço 1:4 (cimento e areia média), preparo manual. Af_08/2014</t>
  </si>
  <si>
    <t>Calçada de piso cimentado semi-áspero, inclusive camada de regularização, elementos de contenção, aterro e reaterro  (m²)</t>
  </si>
  <si>
    <t>Material / Mão-de-Obra</t>
  </si>
  <si>
    <t>Alvenaria de tijolo cerâmico esp= 14 cm</t>
  </si>
  <si>
    <t>M²</t>
  </si>
  <si>
    <t>73922/004</t>
  </si>
  <si>
    <t>Calçada em piso cimentado</t>
  </si>
  <si>
    <t xml:space="preserve"> Aterro compactado</t>
  </si>
  <si>
    <t>SINAPI   88629</t>
  </si>
  <si>
    <t>Argamassa traço 1:3 (cimento e areia média) (m²)</t>
  </si>
  <si>
    <t>SINAPI   87879</t>
  </si>
  <si>
    <t>Chapisco  (m²)</t>
  </si>
  <si>
    <t>Argamassa traço 1:3 (cimento e areia grossa) para chapisco convencional</t>
  </si>
  <si>
    <t xml:space="preserve">Betoneira capacidade nominal de 400 l, capacidade de mistura 310 l, motor elétrico trifásico potência de 2 hp, sem carregador - chp diurno.
Af_10/2014
</t>
  </si>
  <si>
    <t xml:space="preserve">Betoneira capacidade nominal de 400 l, capacidade de mistura 310 l, motor elétrico trifásico potência de 2 hp, sem carregador - chi diuirno.
Af_10/2014
</t>
  </si>
  <si>
    <t>SINAPI   87533</t>
  </si>
  <si>
    <t>Reboco (m²)</t>
  </si>
  <si>
    <t>SINAPI  87267</t>
  </si>
  <si>
    <t>Revestimento cerâmico 10x10cm (padrão IFPI) (m²)</t>
  </si>
  <si>
    <t>Revestimento em cerâmica esmaltada extra, PEI menor ou igual a 3, formato menor ou igual a 2025 cm²</t>
  </si>
  <si>
    <t>Argamassa ou cimento colante em pó para fixação de peças cerâmicas</t>
  </si>
  <si>
    <t>Rejunte colorido</t>
  </si>
  <si>
    <t>Azulejista ou ladrilhista com encargos complementares</t>
  </si>
  <si>
    <t>Portão de metalon e barra chata de ferro c/fechadura e dobradiça, inclus. Pintura esmalte sintético (m²)</t>
  </si>
  <si>
    <t>PORTÃO EM METALON E BARRA CHATA DE FERRO C/FECHADURA E DOBRADIÇAS, INCLUS. PINTURA ESMALTE SINTÉTICO</t>
  </si>
  <si>
    <t>AREIA GROSSA - POSTO JAZIDA/FORNECEDOR (SEM FRETE</t>
  </si>
  <si>
    <t>CIMENTO PORTLANDO CP II-32</t>
  </si>
  <si>
    <t>PEDREIRO COM ENCARGOS COMPLEMENTARES</t>
  </si>
  <si>
    <t>MONTADOR COM ENCARGOS COMPLEMENTARES</t>
  </si>
  <si>
    <t>Porta em madeira com rev. melamínico,visor em vidro, de abrir, 1,60x2,10 m  (und)</t>
  </si>
  <si>
    <t xml:space="preserve">Argamassa traço 1:4 (cimento e areia média) para contrapiso, preparo manual. Af_06/2014 </t>
  </si>
  <si>
    <t xml:space="preserve">Chapa laminado melaminico liso brilhante e = 1,3mm (1,25x3,08m)  </t>
  </si>
  <si>
    <t>Cola a base de resina sintetica para chapa de laminado melaminico</t>
  </si>
  <si>
    <t>Aduela/batente duplo/caixão/grade caixa 13 x 3cm p/ porta 0,60 a 1,20 x 2,10m madeira cedrinho/pinho/canela ou similar</t>
  </si>
  <si>
    <t>jg</t>
  </si>
  <si>
    <t>Alizar / guarnicao 5 x 2cm madeira cedro/imbuia/jequitiba ou similar</t>
  </si>
  <si>
    <t>Peca de madeira de lei nativa/regional 10 x 10 x 3 cm p/ fixação de esquadrias ou rodapé</t>
  </si>
  <si>
    <t xml:space="preserve">Prego de aço 15 x 15 c/ cabeça  </t>
  </si>
  <si>
    <t xml:space="preserve">Parafuso rosca soberba aço zinc.  cabeça chata fenda simples 7 x 65 </t>
  </si>
  <si>
    <t>Porta de madeira semi-oca, folha lisa para pintura *80 x 210 x 3,5* cm</t>
  </si>
  <si>
    <t>Vidro 4mm com pelicula fumê</t>
  </si>
  <si>
    <t>Massa para vidro</t>
  </si>
  <si>
    <t>Fechadura embutir tp gorges (chave grande) p/porta interna,completa - linha popular</t>
  </si>
  <si>
    <t xml:space="preserve">Dobradiça latão cromado 3 x 3" sem anéis  </t>
  </si>
  <si>
    <t>Carpinteiro de esquadrias com encargos complementares</t>
  </si>
  <si>
    <t>Vidraceiro de esquadrias com encargos complementares</t>
  </si>
  <si>
    <t>Porta em madeira com rev. melamínico, de abrir, 0,90x2,10 m  (und)</t>
  </si>
  <si>
    <t>Porta de madeira semi-oca, folha lisa para pintura *90 x 210 x 3,5* cm</t>
  </si>
  <si>
    <t>Porta em madeira com rev. melamínico, de correr, 1,80x2,10 m  (und)</t>
  </si>
  <si>
    <t xml:space="preserve">Batente/ portal/ aduela/ marco macico, e= *3* cm, l= *13* cm, *60
Cm a 120* cm x *210* cm, em pinus/ tauari/ virola ou equivalente da regiao
</t>
  </si>
  <si>
    <t>Rodizio latao 6mm c/ rolamento skf</t>
  </si>
  <si>
    <t>Trilho quadrado aluminio 1/4'' p/ rodizios</t>
  </si>
  <si>
    <t xml:space="preserve">Guarnicao/ alizar/ vista macica, e= *1* cm, l= *4,5* cm, em
Cedrinho/ angelim comercial/ eucalipto/ curupixa/ peroba/ cumaru ou equivalente da regiao
</t>
  </si>
  <si>
    <t>Porta lisa em madeira com revestimento melamínico (m²)</t>
  </si>
  <si>
    <t>Argamassa traço 1:4 (cimento e areia média), preparo manual.</t>
  </si>
  <si>
    <t>Laminado melaminico liso e fosco, para revestimento de chapa de madeira, espessura 1,33mm, fixado com cola específica</t>
  </si>
  <si>
    <t>184</t>
  </si>
  <si>
    <t>Aduela/batente duplo/caixao/grade caixa 13 x 3cm p/ porta 0,60 a 1,20 x 2,10m madeira cedrinho/pinho/canela ou similar</t>
  </si>
  <si>
    <t>JG</t>
  </si>
  <si>
    <t>2427</t>
  </si>
  <si>
    <t xml:space="preserve">Dobradica latao cromado 3 x 3" sem aneis </t>
  </si>
  <si>
    <t>4419</t>
  </si>
  <si>
    <t>Peca de madeira de lei nativa/regional 10 x 10 x 3 cm p/ fixacao de esquadrias ou rodape</t>
  </si>
  <si>
    <t>Porta de madeira compensada lisa</t>
  </si>
  <si>
    <t>20006</t>
  </si>
  <si>
    <t>20247</t>
  </si>
  <si>
    <t xml:space="preserve">Prego de aco 15 x 15 c/ cabeca </t>
  </si>
  <si>
    <t>Carpinteiro de esquadria com encargos complementares</t>
  </si>
  <si>
    <t>SINAPI   88627</t>
  </si>
  <si>
    <t>Argamassa traço 1:0,5:4,5 (cimento, cal e areia média) para assentamento de alvenaria, preparo manual. Af_08/2014 (m³)</t>
  </si>
  <si>
    <t>Cal hidratada, de 1a. qualidade, para argamassa</t>
  </si>
  <si>
    <t>SINAPI 74071/002</t>
  </si>
  <si>
    <t>Porta em alumínio tipo veneziana, de abrir (m²)</t>
  </si>
  <si>
    <t xml:space="preserve">Argamassa traço 1:0,5:4,5 (cimento, cal e areia média) para assentamento de alvenaria, preparo manual. Af_08/2014 </t>
  </si>
  <si>
    <t>Porta alumínio abrir, perfil serie 25, tp veneziana c/ guarnição 87 x 210cm</t>
  </si>
  <si>
    <t>Serralheiro com encargos complementares</t>
  </si>
  <si>
    <t>Portão de ferro de  correr (m²)</t>
  </si>
  <si>
    <t>Grade de ferro em tubo de aço galvanizado d=15mm e moldura c/barra chata de ferro 2"x3/8"</t>
  </si>
  <si>
    <t>Trilho para fixação de portão de correr em perfil "u", inclusive roldanas.</t>
  </si>
  <si>
    <t>Porta em alumínio tipo veneziana, de correr (m²)</t>
  </si>
  <si>
    <t>SINAPI 73809/001</t>
  </si>
  <si>
    <t>Janela em alumínio e vidro temperado, maxiar  (m²)</t>
  </si>
  <si>
    <t>Areia grossa - posto jazida/fornecedor (sem frete)</t>
  </si>
  <si>
    <t>Janela alumínio maxim ar, serie 25, 90 x 110cm (incluso guarnição e vidro fantasia)</t>
  </si>
  <si>
    <t>Cimento Portland composto CPII-32</t>
  </si>
  <si>
    <t>SINAPI 72077</t>
  </si>
  <si>
    <t>Estrutura de madeira de lei, primeira qualidade, serrada, não aparelhada, para telhas ceramicas, vaos de ate 7m (m²)</t>
  </si>
  <si>
    <t>PREGO POLIDO COM CABECA 18 X 27</t>
  </si>
  <si>
    <t>ESTRIBO COM PARAFUSO EM CHAPA DE FERRO FUNDIDO DE 2" X 3/16" X 35
CM, SECAO "U", PARA MADEIRAMENTO DE TELHADO</t>
  </si>
  <si>
    <t>SINAPI 73938/4</t>
  </si>
  <si>
    <t>ARGAMASSA TRAÇO 1:3 (CIMENTO E AREIA MÉDIA), PREPARO MECÂNICO COM
BETONEIRA 400 L. AF_08/2014</t>
  </si>
  <si>
    <t>ARAME RECOZIDO 18 BWG, 1,25 MM (0,01 KG/M)</t>
  </si>
  <si>
    <t>TELHADISTA COM ENCARGOS COMPLEMENTARES</t>
  </si>
  <si>
    <t>SINAPI 73938/7</t>
  </si>
  <si>
    <t>Embocamento de ultima fiada de telha plan, colonial ou paulista, com argamassa traco 1:2:8 (cimento, cal e areia)(m)
 (m)</t>
  </si>
  <si>
    <t>ARGAMASSA TRAÇO 1:2:8 (CIMENTO, CAL E AREIA MÉDIA) PARA
EMBOÇO/MASSA ÚNICA/ASSENTAMENTO DE ALVENARIA DE VEDAÇÃO, PREPARO
MECÂNICO COM MISTURADOR DE EIXO HORIZONTAL DE 300 KG. AF_06/2014</t>
  </si>
  <si>
    <t>SERVENTE COM OS ENCARGOS COMPLEMENTARES</t>
  </si>
  <si>
    <t>Perfil laminado aço estrutural "u", 6 "  x 2 " (qualquer espessura)</t>
  </si>
  <si>
    <t>Montador com encargos complementares</t>
  </si>
  <si>
    <t xml:space="preserve"> Telha metálica em chapa de aço galvanizado natural ondulada e=0,5mm(m²)</t>
  </si>
  <si>
    <t>Telha de aco zincado ondulada, a = *17* mm, e = 0,5 mm, sempintura</t>
  </si>
  <si>
    <t>Telha trapezoidal  poliuretano ft 30mm #0,43 (m²)</t>
  </si>
  <si>
    <t>Telha trapezoidal  termo acústica - poliuretano ft 30mm #0,43</t>
  </si>
  <si>
    <t>SINAPI 75220</t>
  </si>
  <si>
    <t>Cumeeira em perfil ondulado de aluminio (m)</t>
  </si>
  <si>
    <t>CUMEEIRA ALUMINIO ONDULADA, COMPRIMENTO = *1,12* M, E = 0,8 MM</t>
  </si>
  <si>
    <t>SINAPI   6045</t>
  </si>
  <si>
    <t>Concreto Fck=15 mpa, preparo com betoneira, sem lançamento (m³)</t>
  </si>
  <si>
    <t xml:space="preserve">Areia grossa - posto /fornecedor (sem frete) </t>
  </si>
  <si>
    <t>Chapim em concreto armado (m)</t>
  </si>
  <si>
    <t xml:space="preserve">Concreto fck=15mpa, preparo com betoneira, sem lançamento </t>
  </si>
  <si>
    <t>Aço CA-50, 6,3 mm, vergalhão</t>
  </si>
  <si>
    <t>Chapa de madeira compensada plastificada para forma de concreto,de *2,44 x 1,22* m, e = 10 mm</t>
  </si>
  <si>
    <t>Arame galvanizado 14 bwg, d = 2,11 mm (0,026 kg/m)</t>
  </si>
  <si>
    <t>Peca de madeiranativa/regional 2,5 x 10cm (1x4") nao aparelhada (sarrafo-p/forma)</t>
  </si>
  <si>
    <t>Desmoldante protetor para formas de madeira, de base oleosaemulsionada em agua</t>
  </si>
  <si>
    <t>Prego polido com cabeça 18 x 30</t>
  </si>
  <si>
    <t>Rufo metálico para telha termoacústica (m)</t>
  </si>
  <si>
    <t>Rufo para telha termo acústica L = 25cm</t>
  </si>
  <si>
    <t>Telhadista com encargos complementares</t>
  </si>
  <si>
    <t>Pingadeira metálica p/ telha termoacústica (m)</t>
  </si>
  <si>
    <t>Tampamento ou Pingadeira,  compatível com a telha especificada</t>
  </si>
  <si>
    <t>SINAPI 72105</t>
  </si>
  <si>
    <t>Calha em chapa de aco galvanizado numero 24, desenvolvimento de 50cm
 (m)</t>
  </si>
  <si>
    <t>Calha chapa galvanizada num 24 l = 50cm</t>
  </si>
  <si>
    <t xml:space="preserve">Rebite de aluminio vazado de repuxo, 3,2 x 8 mm (1kg = 1025 Unidades)
</t>
  </si>
  <si>
    <t>Solda 50/50</t>
  </si>
  <si>
    <t>SINAPI    88485</t>
  </si>
  <si>
    <t>Selador acrílico (m²)</t>
  </si>
  <si>
    <t>Pintor com encargos complementares</t>
  </si>
  <si>
    <t>SINAPI    88487</t>
  </si>
  <si>
    <t>Látex acrílico duas demãos em paredes (m²)</t>
  </si>
  <si>
    <t>Tinta latéx PVA Premium cor branca</t>
  </si>
  <si>
    <t>SINAPI  88497</t>
  </si>
  <si>
    <t>Emassamento em paredes (m²)</t>
  </si>
  <si>
    <t>Lixa em folha para parede ou madeira, numero 120 (cor vermelha)</t>
  </si>
  <si>
    <t>Massa corrida pva para paredes internas</t>
  </si>
  <si>
    <t>18 l</t>
  </si>
  <si>
    <t>SINAPI    88423</t>
  </si>
  <si>
    <t>Pintura texturizada acrílica c/ quartzo (m²)</t>
  </si>
  <si>
    <t>Massa para textura lisa de base acrílica, cor branca, uso interno e externo</t>
  </si>
  <si>
    <t>SINAPI    74064/001</t>
  </si>
  <si>
    <t>Fundo anticorrosivo a base de oxido de ferro (zarcão), duas demãos (m²)</t>
  </si>
  <si>
    <t>Fundo anticorrosivo tipo zarcao ou equiv</t>
  </si>
  <si>
    <t>SINAPI    73924/002</t>
  </si>
  <si>
    <t xml:space="preserve"> Esmalte sintético em estrutura metálica (m²)</t>
  </si>
  <si>
    <t>Lixa p/ ferro</t>
  </si>
  <si>
    <t>Solvente diluente a base de aguarrás</t>
  </si>
  <si>
    <t>Tinta esmalte sintético acetinado</t>
  </si>
  <si>
    <t xml:space="preserve"> Esmalte sintético sobre estrutura de madeira (m²)</t>
  </si>
  <si>
    <t>Lixa em folha para parede ou madeira, numero 120(cor vermelha)</t>
  </si>
  <si>
    <t>SINAPI 79460</t>
  </si>
  <si>
    <t>Pintura epoxi, duas demãos (m²)</t>
  </si>
  <si>
    <t>Solvente diluente a base de aguarras</t>
  </si>
  <si>
    <t>L</t>
  </si>
  <si>
    <t>Tinta epoxi</t>
  </si>
  <si>
    <t>Piso tátil  em borracha 30x30cm c/ assentamento em cola vinil  - Fornecimento e assentamento (m²)</t>
  </si>
  <si>
    <t>cola vinil para pvc</t>
  </si>
  <si>
    <t>Piso tátil alerta ou direcional emborrachado cor preto</t>
  </si>
  <si>
    <t>Ladrilista com encargos complementares</t>
  </si>
  <si>
    <t>SINAPI  83742</t>
  </si>
  <si>
    <t>Impermeabilização em pintura com emulsão asfaltica (m²)</t>
  </si>
  <si>
    <t>Emulsão asfaltica a base de água para impermeabilização</t>
  </si>
  <si>
    <t>Argamassa traço 1:4 (cimento e areia média) para contrapiso, preparo manual. Af_06/2014 (m²)</t>
  </si>
  <si>
    <t>Areia media - posto jazida/fornecedor (sem frete)</t>
  </si>
  <si>
    <t>Corrimão em tubo de aço inox ø=3", com montantes flangeado em tubo inox ø=3" e com fechamento em tubo ø=2", com acabamento polido, h=0,90m, fixado nas extremidades  (m)</t>
  </si>
  <si>
    <t>Parafuso de fixação com bucha plástica 8 mm</t>
  </si>
  <si>
    <t>Guarda-corpo em tubo de aço inox ø=3", com montantes flangeado em tubo inox ø=3" e com fechamento em tubo ø=2", com acabamento polido, h=0,90m</t>
  </si>
  <si>
    <t>SINAPI   73972/002</t>
  </si>
  <si>
    <t>Concreto fck=20 Mpa, virado em betoneira, sem lançamento (m³)</t>
  </si>
  <si>
    <t>SINAPI 73787/001</t>
  </si>
  <si>
    <t>Alambrado em tubos de aco galvanizado, com costura, din 2440, diametro 2", altura 3m, fixados a cada 2m em blocos de concreto, com tela de arame galvanizado revestido com pvc, fio 12 bwg eMalha 7,5x7,5cm(m²)</t>
  </si>
  <si>
    <t>PINHO DE TERCEIRA 1" X 12" E 1" X 9"</t>
  </si>
  <si>
    <t>73972/2</t>
  </si>
  <si>
    <t>CONCRETO FCK=20MPA, VIRADO EM BETONEIRA, SEM LANCAMENTO</t>
  </si>
  <si>
    <t>ARAME GALVANIZADO 12 BWG, 2,76 MM (0,048 KG/M)</t>
  </si>
  <si>
    <t>PREGO POLIDO COM CABECA 18 X 30</t>
  </si>
  <si>
    <t>TE FERRO GALVANIZADO 90G 2"</t>
  </si>
  <si>
    <t>UN</t>
  </si>
  <si>
    <t>TUBO ACO GALV C/ COSTURA DIN 2440/NBR 5580 CLASSE MEDIA DN 2"
(50MM) E=3,65MM - 5,10KG/M</t>
  </si>
  <si>
    <t>TELA ARAME GALV REVESTIDO C/ PVC FIO 12 BWG (2,77MM) MALHA 3" (7,5
X 7,5CM)</t>
  </si>
  <si>
    <t>M2</t>
  </si>
  <si>
    <t>AJUDANTE DE ARMADOR COM ENCARGOS COMPLEMENTARES</t>
  </si>
  <si>
    <t>H</t>
  </si>
  <si>
    <t>CARPINTEIRO DE ESQUADRIA COM ENCARGOS COMPLEMENTARES</t>
  </si>
  <si>
    <t>MONTADOR (TUBO AÇO/EQUIPAMENTOS) COM ENCARGOS COMPLEMENTARES</t>
  </si>
  <si>
    <t>SINAPI      9537</t>
  </si>
  <si>
    <t>Limpeza final da obra (m²)</t>
  </si>
  <si>
    <t>Acido muriatico (solução acida)</t>
  </si>
  <si>
    <t>Argamassa traço 1:3 (cimento e areia média), preparo manual.Af_08/2014 (m³)</t>
  </si>
  <si>
    <t>Divisórias em Granito Cinza Andorinha Polido(m²)</t>
  </si>
  <si>
    <t>Granito cinza polido p/divisória e=2,5 cm</t>
  </si>
  <si>
    <t xml:space="preserve">Argamassa traço 1:3 (cimento e areia média), preparo manual.Af_08/2014 </t>
  </si>
  <si>
    <t>Cimento Branco</t>
  </si>
  <si>
    <t>Marmorista/graniteiro com encargos complementares</t>
  </si>
  <si>
    <t>Bancadas em Granito Cinza Andorinha (m²)</t>
  </si>
  <si>
    <t>Granito cinza polido  e = 2,5 cm</t>
  </si>
  <si>
    <t>Cimento Portland composto CP II-32</t>
  </si>
  <si>
    <t>Areia grossa</t>
  </si>
  <si>
    <t>Arame galvanizado 14bwg (2,11 mm) - 0,026kg/m</t>
  </si>
  <si>
    <t>Parafuso c/ bucha S-6</t>
  </si>
  <si>
    <t xml:space="preserve">Rebite de alumínio </t>
  </si>
  <si>
    <t>m2</t>
  </si>
  <si>
    <t>Carpinteiro com encargos complementares</t>
  </si>
  <si>
    <t>UND.</t>
  </si>
  <si>
    <t>TOTAL</t>
  </si>
  <si>
    <t>UNIT.</t>
  </si>
  <si>
    <t>Tubos</t>
  </si>
  <si>
    <t>Tubo de PVC rígido esgoto sanitário ø 40 mm - Inclusive conexoes</t>
  </si>
  <si>
    <t>Tubo de PVC rígido esgoto sanitário ø 50 mm- Inclusive conexoes</t>
  </si>
  <si>
    <t>Tubo de PVC rígido esgoto sanitário ø 100 mm- Inclusive conexoes</t>
  </si>
  <si>
    <t xml:space="preserve">SERVIÇOS PRELIMINARES </t>
  </si>
  <si>
    <t>Remoção  de cobertura ,  telha Francesa</t>
  </si>
  <si>
    <t>Demolição de revestimento em azuleiros</t>
  </si>
  <si>
    <t>Lastro de concreto espessura de 5,0cm</t>
  </si>
  <si>
    <t>Telha prensada tipo americana</t>
  </si>
  <si>
    <t>Selador acrílico em paredes interna</t>
  </si>
  <si>
    <t>Selador acrílico em paredes externa</t>
  </si>
  <si>
    <t>Emassamento de paredes internas</t>
  </si>
  <si>
    <t>Esmalte sintético em esquadrias de madeira</t>
  </si>
  <si>
    <t xml:space="preserve">Limpeza permanente e final da obra </t>
  </si>
  <si>
    <t>Sinapi</t>
  </si>
  <si>
    <t>SINAPI</t>
  </si>
  <si>
    <t xml:space="preserve"> Peca de madeira nativa/regional 2,5 x 10cm (1x4") não aparelhada (sarrafo-p/forma)</t>
  </si>
  <si>
    <t>BDI ()</t>
  </si>
  <si>
    <t>BDI (%)</t>
  </si>
  <si>
    <t>Armação aço CA-50 diam.10,0 (3/8) à 25,0mm (1) - Fornecimento/ corte(perda de 10%) / dobra / colocação. (kg)</t>
  </si>
  <si>
    <t xml:space="preserve">BDI </t>
  </si>
  <si>
    <t>com</t>
  </si>
  <si>
    <t>BDI )</t>
  </si>
  <si>
    <t>PECA DE MADEIRA DE LEI
NATIVA/REGIONAL *4 X 30* CM, NAO APARELHADA</t>
  </si>
  <si>
    <t>Cobertura em telha ceramica tipo colonial grande com argamassa traco 1:3(cimento e areia) e arame recozido(m²)</t>
  </si>
  <si>
    <t>Cumeeira para telha colonial plan, inclusive emassamento (m)</t>
  </si>
  <si>
    <t xml:space="preserve">CUMEEIRA PARA TELHA colonialL PLAN, INCLUSIVE EMASSAMENTO </t>
  </si>
  <si>
    <t>Estrutura metálica p/ cobertura em telhas colonial grande</t>
  </si>
  <si>
    <t>comp</t>
  </si>
  <si>
    <t>Pintura acrílica duas demãos em paredes internas</t>
  </si>
  <si>
    <t>Reboco massa única com argamassa mista traço 1:2:8 preparo mecanio</t>
  </si>
  <si>
    <t>Emboco para revestimento ceramico traço 1:2:8 espessura de 20mm</t>
  </si>
  <si>
    <t>Revestimento em ceramico para paredes internas com placas 33x45cm  PEI IV</t>
  </si>
  <si>
    <t>Contrapiso em argamassa traço 1:4 espessura de 3cm</t>
  </si>
  <si>
    <t>sinapi</t>
  </si>
  <si>
    <t>composição</t>
  </si>
  <si>
    <t>73801/001</t>
  </si>
  <si>
    <t>TELHA CERAMICA TIPO CANAL, DE 1A.
QUALIDADE, COM 50 CM (COBERTURA DE *26* TELHAS POR M2) - MILHEIRO</t>
  </si>
  <si>
    <t>CCR</t>
  </si>
  <si>
    <t>Forro de Gesso acartonado (m²)</t>
  </si>
  <si>
    <t>Forro de gesso acartonadofornecimento  colocação (inclusive perfis metálicos da estrutura de suporte)</t>
  </si>
  <si>
    <t>Piso cimentado troiadio espessura de 5cm</t>
  </si>
  <si>
    <t>rufo em concreto armado espesura de 4cm e largura de 30cm</t>
  </si>
  <si>
    <t>Calha em chapa de zinco galvanizado desenvolvimento de 100cm</t>
  </si>
  <si>
    <t>Pintura Pva de teto duas demãos</t>
  </si>
  <si>
    <t>8.6</t>
  </si>
  <si>
    <t>8.7</t>
  </si>
  <si>
    <t>8.8</t>
  </si>
  <si>
    <t>7.5</t>
  </si>
  <si>
    <t>7.6</t>
  </si>
  <si>
    <t>Orse</t>
  </si>
  <si>
    <t>73753/1</t>
  </si>
  <si>
    <t>IMPERMEABILIZACAO DE SUPERFICIE COM MANTA ASFALTICA PROTEGIDA COM FILME DE ALUMINIO GOFRADO (DE ESPESSURA 0,8MM), INCLUSA APLICACAO DE  EMULSAO ASFALTICA, E=3MM.</t>
  </si>
  <si>
    <t>Chapim de comcreto largura de 25cm e espessura de 4cm</t>
  </si>
  <si>
    <t>Sinapi-adaptada</t>
  </si>
  <si>
    <t>Selador em forro de gesso</t>
  </si>
  <si>
    <t>Emassamento de forro de gesso</t>
  </si>
  <si>
    <t>Seinfra-ce</t>
  </si>
  <si>
    <t>C1448</t>
  </si>
  <si>
    <t>72120</t>
  </si>
  <si>
    <t>VIDRO TEMPERADO INCOLOR, ESPESSURA 10MM, FORNECIMENTO E INSTALACAO, INCLUSIVE MASSA PARA VEDACAO</t>
  </si>
  <si>
    <t>73838/1</t>
  </si>
  <si>
    <t>PORTA DE VIDRO TEMPERADO, 0,9X2,10M, ESPESSURA 10MM, INCLUSIVE ACESSORIOS</t>
  </si>
  <si>
    <t>6.01</t>
  </si>
  <si>
    <t>pt</t>
  </si>
  <si>
    <t>6.02</t>
  </si>
  <si>
    <t>C1950</t>
  </si>
  <si>
    <t>SEINFRA</t>
  </si>
  <si>
    <t>UFPI</t>
  </si>
  <si>
    <t>Chuveiro com desviador para ducha manual e controle de fluxo na ducha</t>
  </si>
  <si>
    <t>6.04</t>
  </si>
  <si>
    <t>Monocomando para chuveiro baixo, barra alta, linha Decamix, ref. 2993. C79 ou similar</t>
  </si>
  <si>
    <t>6.05</t>
  </si>
  <si>
    <t>6.06</t>
  </si>
  <si>
    <t>Torneira de lavatório 20mm x 1/2" - BWC PCD</t>
  </si>
  <si>
    <t>6.07</t>
  </si>
  <si>
    <t>6.08</t>
  </si>
  <si>
    <t>ORSE</t>
  </si>
  <si>
    <t>Lavatório louça de canto sem coluna, c/ sifão cromado, válvula cromada, engate cromado, exclusive torneira - (banheiro PNE)</t>
  </si>
  <si>
    <t>6.09</t>
  </si>
  <si>
    <t>Bacia sanitária convencional para pcd sem furo frontal, de louça branca, incl. acessórios de fixação, assento e válvula de descarga externa - fornecimento e instalação</t>
  </si>
  <si>
    <t>6.10</t>
  </si>
  <si>
    <t>Banco articulado para banho (p/deficientes)</t>
  </si>
  <si>
    <t>6.11</t>
  </si>
  <si>
    <t>Barra de apoio em aço inox para lavatório - 40cm</t>
  </si>
  <si>
    <t>6.12</t>
  </si>
  <si>
    <t>Barra de apoio em aço inox para lavatório - 60cm</t>
  </si>
  <si>
    <t>6.13</t>
  </si>
  <si>
    <t>Barra de apoio em aço inox para lavatório - 70cm</t>
  </si>
  <si>
    <t>6.14</t>
  </si>
  <si>
    <t>Barra de apoio em aço inox para lavatório - 80cm</t>
  </si>
  <si>
    <t>DRENAGEM - AR CONDICIONADO</t>
  </si>
  <si>
    <t>7.01</t>
  </si>
  <si>
    <t>Rasgo em alvenaria - Cabine para projeção</t>
  </si>
  <si>
    <t>7.02</t>
  </si>
  <si>
    <t>Tubo, pvc, soldável, dn 25mm, instalado em dreno de ar-condicionado - fornecimento e instalação</t>
  </si>
  <si>
    <t>7.03</t>
  </si>
  <si>
    <t>Chumbamento linear em alvenaria - Cabine para projeção</t>
  </si>
  <si>
    <t>INSTALAÇÕES ELÉTRICAS</t>
  </si>
  <si>
    <t>Spot led dicróica, para instalação em trilho eletrificado na cor branca. Temperatura de cor entre 3.000 e 3.500K</t>
  </si>
  <si>
    <t>Reaproveitamento de luminária tipo calha, de sobrepor, com 02 lâmpadas led tubular bivolt 9/10 w, base g13 - fornecimento e instalação</t>
  </si>
  <si>
    <t>Reaproveitamento de luminária tipo calha, de sobrepor, com 02 lâmpadas led tubular bivolt  18/20 w, base g13 - fornecimento e instalação</t>
  </si>
  <si>
    <t>C4105</t>
  </si>
  <si>
    <t>Arandela para fluorescente compacta 18w em alumínio anodizado e pintado por processo eletrostático com um visor em vidro fosco</t>
  </si>
  <si>
    <t>SISTEMA DE SOM</t>
  </si>
  <si>
    <t>12.01</t>
  </si>
  <si>
    <t>C3679</t>
  </si>
  <si>
    <t>Ponto para sistema de som - material e execução (incluso braçadeira p/ fixação, caixa estampada 4''x6'', caixa de ligação, eletroduto de pvc rígido 3/4'', fio paralelo isolado (2 x 1,50)mm2 e acessórios)</t>
  </si>
  <si>
    <t>12.02</t>
  </si>
  <si>
    <t>Caixa de som 25 W RMS suspensa, inclusive suporte</t>
  </si>
  <si>
    <t>INSTALAÇÕES DE COMBATE A INCÊNDIO</t>
  </si>
  <si>
    <t>14.01</t>
  </si>
  <si>
    <t>14.02</t>
  </si>
  <si>
    <t xml:space="preserve">Extintor de pó químico ABC, capacidade 6 kg, alcance médio do jato 5m , tempo de descarga 12s, NBR9443, 9444, 10721 </t>
  </si>
  <si>
    <t>14.03</t>
  </si>
  <si>
    <t>Comp. 26</t>
  </si>
  <si>
    <t>Instalação de barra anti-pânico c/ trava em aço inox - Porta de entrada existente</t>
  </si>
  <si>
    <t>par</t>
  </si>
  <si>
    <t>14.04</t>
  </si>
  <si>
    <t>Comp. 27</t>
  </si>
  <si>
    <t>Sinalização "SAÍDA" - indicação da direção de rota de fuga - 20x40cm</t>
  </si>
  <si>
    <t>14.05</t>
  </si>
  <si>
    <t>Comp. 28</t>
  </si>
  <si>
    <t>Sinalização "SAÍDA" - indicação das saídas de emergência - 20x40cm</t>
  </si>
  <si>
    <t>14.06</t>
  </si>
  <si>
    <t>Comp. 29</t>
  </si>
  <si>
    <t>Sinalização - extintores de incêndio</t>
  </si>
  <si>
    <t>14.07</t>
  </si>
  <si>
    <t>Comp. 30</t>
  </si>
  <si>
    <t>Sinalização "APERTE E EMPURRE" - porta corta-fogo - 20x40cm</t>
  </si>
  <si>
    <t>OBRA:</t>
  </si>
  <si>
    <r>
      <rPr>
        <b/>
        <sz val="11"/>
        <rFont val="Cambria"/>
        <family val="1"/>
      </rPr>
      <t xml:space="preserve">LEGENDA: </t>
    </r>
    <r>
      <rPr>
        <sz val="11"/>
        <rFont val="Cambria"/>
        <family val="1"/>
      </rPr>
      <t>C = Composição; I = Insumo</t>
    </r>
  </si>
  <si>
    <r>
      <t xml:space="preserve">OBS.: </t>
    </r>
    <r>
      <rPr>
        <sz val="11"/>
        <rFont val="Cambria"/>
        <family val="1"/>
      </rPr>
      <t>Mão de obra com encargos complementares incluso.</t>
    </r>
  </si>
  <si>
    <t>COMPOSIÇÕES DE PREÇOS UNITÁRIOS</t>
  </si>
  <si>
    <t>UNID.:</t>
  </si>
  <si>
    <t>SERVIÇO:</t>
  </si>
  <si>
    <t>Remanejamento de bancada de granito</t>
  </si>
  <si>
    <t>REF.</t>
  </si>
  <si>
    <t>TIPO</t>
  </si>
  <si>
    <t>CÓDIGO</t>
  </si>
  <si>
    <t>DESCRIÇÃO</t>
  </si>
  <si>
    <t>UND</t>
  </si>
  <si>
    <t>COEF.</t>
  </si>
  <si>
    <t>PR. UNIT.</t>
  </si>
  <si>
    <t>PR. TOTAL</t>
  </si>
  <si>
    <t>C</t>
  </si>
  <si>
    <t>Engenheiro civil de obra junior</t>
  </si>
  <si>
    <t>BASE:</t>
  </si>
  <si>
    <t>Total Geral:</t>
  </si>
  <si>
    <t>Retirada de esquadrias</t>
  </si>
  <si>
    <t>Servente</t>
  </si>
  <si>
    <t>Forro de fibra mineral Hunter Douglas SRA=0,65, NRC=0,65, CAC=31 a 49dB ou similar - fornecimento e instalação</t>
  </si>
  <si>
    <t>I</t>
  </si>
  <si>
    <t>I8305</t>
  </si>
  <si>
    <t>Forro acústico tipo "sonex" em placas de fibra mineral c/ perfil "t" em alumínio</t>
  </si>
  <si>
    <t>Forro em lambris de PVC</t>
  </si>
  <si>
    <t>Forro de pvc em régua de 100 mm (com colocação, exclusive estrutura de suporte)</t>
  </si>
  <si>
    <t>J1 (0,85 x 0,75m) - Janela pivotante horizontal, tipo basculante, fechamento em quadriculado de metalon com vidro jateado transparente, 5mm. (conforme projeto arquitetônico)</t>
  </si>
  <si>
    <t>Janela basculante, aço, com batente/requadro, 60 x 80cm sem vidros</t>
  </si>
  <si>
    <t>Vidraceiro</t>
  </si>
  <si>
    <t>Vidro liso incolor 5mm - sem colocação</t>
  </si>
  <si>
    <t>84957 - SINAPI (adaptada)</t>
  </si>
  <si>
    <t>V1 (1,80 x 1,10 m/ 1,00m) - Visor em vidro laminado incolor (e=8mm) fixado em requadro em alumínio anodizado branco nas quatro faces dos vãos</t>
  </si>
  <si>
    <t>Caixilho fixo, de aluminio, para vidro</t>
  </si>
  <si>
    <t xml:space="preserve">Vidro laminado 8mm (4+4mm), incolor </t>
  </si>
  <si>
    <t>P1 (0,90 x 2,50m)- Porta tipo abrir 0,90x2,10m, tipo semi oca. Fechadura tipo cilindro, maçaneta tipo alavanca. Bandeira fixa 0,90x0,40m, fechamento com vidro jateado 5mm de espessura. (conforme projeto arquitetônico)</t>
  </si>
  <si>
    <t>Porta de madeira para pintura, semi-oca (leve ou média), 90x210cm, espessura de 3,5cm, incluso dobradiças - fornecimento e instalação</t>
  </si>
  <si>
    <t>Fechadura de embutir com cilindro, externa, completa, acabamento padrão médio, incluso execução de furo - fornecimento e instalação</t>
  </si>
  <si>
    <t>C1407</t>
  </si>
  <si>
    <t>Forramento em aço (batentaço) larg. =12Cm</t>
  </si>
  <si>
    <t>Alizar/guarnição de 5x1,5cm para porta de 90x210cm fixado com pregos, padrão médio - fornecimento e instalação</t>
  </si>
  <si>
    <t>Guarnição/moldura de acabamento para esquadria de alumínio anodizado natural, para 1 face (coletado caixa)</t>
  </si>
  <si>
    <t>BARRA ANTI-IMPACTO</t>
  </si>
  <si>
    <t>73876/1</t>
  </si>
  <si>
    <t>Piso de borracha pastilhado, espessura 7mm, fixado com cola</t>
  </si>
  <si>
    <t>PUXADOR</t>
  </si>
  <si>
    <t xml:space="preserve">Montador </t>
  </si>
  <si>
    <t>I8639</t>
  </si>
  <si>
    <t>Puxador horizontal/ vertical para porta</t>
  </si>
  <si>
    <t>BANDEIRA</t>
  </si>
  <si>
    <t xml:space="preserve">Jateamento sobre vidro temperado </t>
  </si>
  <si>
    <t>90844 - SINAPI; C4638 - SEINFRA-CE</t>
  </si>
  <si>
    <t>P2 (1,80 x 2,50m) - Porta tipo abrir duas folhas de 90 x 210m, em chapa lisa metálica. Visor quadriculado metálico com fechamento em vidro jateado 6mm. Bandeira de 0,40m com fechamento em vidro jateado 5mm. (conforme projeto arquitetônico)</t>
  </si>
  <si>
    <t>73933/2</t>
  </si>
  <si>
    <t>Porta de ferro, de abrir, tipo chapa lisa, com guarnições</t>
  </si>
  <si>
    <t>Vidro liso comum transparente, espessura 6mm</t>
  </si>
  <si>
    <t>Vidro liso comum transparente, espessura 5mm</t>
  </si>
  <si>
    <t>90844 - SINAPI</t>
  </si>
  <si>
    <t>P3 (0,90 x 2,10m) - Substituir porta existente por porta tipo abrir, em chapa lisa metálica. Visor quadriculado metálico com fechamento em vidro liso 6mm. Guarnição/forra metálica. (conforme projeto arquitetônico)</t>
  </si>
  <si>
    <t>P4 (1,80 x 2,10m) - Porta de emergência, uma folha de abrir, estrutura em metalon com fechamento em chapa dupla metálica. Barras anti-pânico. (conforme projeto arquitetônico)</t>
  </si>
  <si>
    <t>BARRA ANTIPÂNICO</t>
  </si>
  <si>
    <t>Carpinteiro de esquadria</t>
  </si>
  <si>
    <t>Ajudante de carpinteiro</t>
  </si>
  <si>
    <t>Montador de estrutura metálica</t>
  </si>
  <si>
    <t>Barra antipânico simples, com fechadura lado oposto, cor cinza</t>
  </si>
  <si>
    <t>Encanador ou Bombeiro Hidráulico</t>
  </si>
  <si>
    <t>Ducha metálica de parede, articulável, com desviador e ducha manual</t>
  </si>
  <si>
    <t>09730 - ORSE-SE</t>
  </si>
  <si>
    <t>Misturador monocomando para chuveiro, base bruta e acabamento cromado</t>
  </si>
  <si>
    <t>89354 - SINAPI (adaptada)</t>
  </si>
  <si>
    <t>Encanador ou bombeiro hidráulico</t>
  </si>
  <si>
    <t>Auxiliar de encanador ou bombeiro hidráulico</t>
  </si>
  <si>
    <t>Selante elástico monocomponente a base de poliuretano para juntas diversas</t>
  </si>
  <si>
    <t>310ml</t>
  </si>
  <si>
    <t>Cimento branco</t>
  </si>
  <si>
    <t>Vedação pvc, 100 mm, para saída vaso sanitário</t>
  </si>
  <si>
    <t>Parafuso niquelado com acabamento cromado para fixar peca sanitaria, inclui porca cega, arruela e bucha de nylon tamanho s-10</t>
  </si>
  <si>
    <t>Bacia sanitária (vaso) convencional para pcd sem furo frontal, de louça branca, sem assento</t>
  </si>
  <si>
    <t>Assento sanitário de plástico, tipo convencional</t>
  </si>
  <si>
    <t>COTAÇÃO</t>
  </si>
  <si>
    <t>cotação 001</t>
  </si>
  <si>
    <t>Válvula de Descarga Silent Flux 3500 CR Fabrimar ou similar</t>
  </si>
  <si>
    <t>6021 - SINAPI (adaptada)</t>
  </si>
  <si>
    <t>Pedreiro</t>
  </si>
  <si>
    <t>Argamassa traço 1:3 (cimento e areia média), preparo manual</t>
  </si>
  <si>
    <t>Banco articulado para banho, em aco inox polido, 70* cm x 45* cm</t>
  </si>
  <si>
    <t>08974 - ORSE-SE</t>
  </si>
  <si>
    <t xml:space="preserve">Barra de apoio (para deficientes) em aço inox polido, l=45 cm, d=38.1 mm </t>
  </si>
  <si>
    <t>09704 - ORSE-SE</t>
  </si>
  <si>
    <t>Barra de apoio reta, em aco inox polido, comprimento 60cm, diametro minimo 3 cm</t>
  </si>
  <si>
    <t>Barra de apoio reta, em aco inox polido, comprimento 70cm, diametro minimo 3 cm</t>
  </si>
  <si>
    <t>Barra de apoio reta, em aço inox polido, comprimento 80cm, diâmetro mínimo 3 cm</t>
  </si>
  <si>
    <t>Eletricista</t>
  </si>
  <si>
    <t>Auxiliar de eletricista</t>
  </si>
  <si>
    <t>Lâmpada led tipo dicróica bivolt, luz branca, 5 w (base gu10)</t>
  </si>
  <si>
    <t>Fita isolante adesiva antichama, uso ate 750 v, em rolo de 19 mm x 5 m</t>
  </si>
  <si>
    <t>74094/1 - SINAPI (adaptada)</t>
  </si>
  <si>
    <t>Lâmpada led tubular bivolt 9/10 w, base g13, sem necessidade de reator para o funcionamento</t>
  </si>
  <si>
    <t>73953/002 - SINAPI</t>
  </si>
  <si>
    <t>Lâmpada led tubular bivolt 18/20 w, base g13, driver eletrônico integrado, sem
necessidade de reator para o funcionamento</t>
  </si>
  <si>
    <t>73953/006 - SINAPI</t>
  </si>
  <si>
    <t>Soleira granito cinza 15 x 3cm</t>
  </si>
  <si>
    <t>Argamassa traço 1:4 (cimento e areia média) para contrapiso, preparo m anual. Af_06/2014</t>
  </si>
  <si>
    <t>Soleira granito 15 x 3cm</t>
  </si>
  <si>
    <t>74192/1 - SINAPI</t>
  </si>
  <si>
    <t>Piso tátil direcional de borracha, 25 x 25 cm, e = 5 mm, para cola</t>
  </si>
  <si>
    <t>Piso tatil direcional de borracha, 25 x 25 cm, e = 5 mm, para cola, cores</t>
  </si>
  <si>
    <t>Piso tátil de alerta de borracha, 25 x 25 cm, e = 5 mm, para cola</t>
  </si>
  <si>
    <t>Piso tatil de alerta de borracha, 25 x 25 cm, e = 5 mm, para cola, cores</t>
  </si>
  <si>
    <t>cotação 002</t>
  </si>
  <si>
    <t>Caixa de som 25 W RMS suspensa</t>
  </si>
  <si>
    <t>cotação 003</t>
  </si>
  <si>
    <t>Suporte de Parede para Caixa Acústica Saty SPC40 ou similar</t>
  </si>
  <si>
    <t>Barra antipanico simples, com fechadura lado oposto, cor cinza</t>
  </si>
  <si>
    <t>C4643 - SEINFRA-CE</t>
  </si>
  <si>
    <t>Placa de sinalização de segurança contra incêndio, fotoluminescente, retangular, *20 x 40* cm, em pvc *2* mm anti-chamas (símbolos, cores e pictogramas conforme nbr 13434)</t>
  </si>
  <si>
    <t>84121 - SINAPI</t>
  </si>
  <si>
    <t>Placa de sinalização de segurança contra incêndio, fotoluminescente, retangular, *13 x 26* cm, em pvc *2* mm anti-chamas (símbolos, cores e pictogramas conforme nbr 13434)</t>
  </si>
  <si>
    <t>Granito cinza andorinha para bancadas e prateleiras - fornecimento e instalação</t>
  </si>
  <si>
    <t>Areia grossa - posto jazida/fornecedor (retirado na jazida, sem transporte)</t>
  </si>
  <si>
    <t>Granito cinza polido p/bancada e=2,0 cm - tampo</t>
  </si>
  <si>
    <t>C4069 (16.9.13) - SEINFRA-CE</t>
  </si>
  <si>
    <t>Suporte metálico para bancadas l=60cm, incl. tratamento antioxidante e pintura em esmalte sintético - Cabine de projeção</t>
  </si>
  <si>
    <t>Barra de ferro retangular, barra chata, 2" x 1/4" (l x e), 2,53 kg/m (02 unidades)</t>
  </si>
  <si>
    <t>74145/1</t>
  </si>
  <si>
    <t>Pintura esmalte fosco, duas demãos, sobre superficie metálica, incluso uma demão de fundo anticorrosivo. Utilização de revólver (ar-comprimido)</t>
  </si>
  <si>
    <t>C3674 (8.8.18) - SEINFRA-CE (adaptada)</t>
  </si>
  <si>
    <t>Suporte metálico para bancadas l=50cm, incl. tratamento antioxidante e pintura em esmalte sintético - Apoio Técnico</t>
  </si>
  <si>
    <t>Suporte metálico para prateleiras l=30cm, incl. tratamento antioxidante e pintura em esmalte sintético</t>
  </si>
  <si>
    <t>Solda topo descendente chanfrada espessura=1/4" chapa/perfil/tubo aco com conversor diesel.</t>
  </si>
  <si>
    <t>Abertura em bancada para encaixe de cuba ou lavatório</t>
  </si>
  <si>
    <t>Abertura para encaixe de cuba ou lavatório em bancada de mármore/ granito ou outro tipo de pedra natural</t>
  </si>
  <si>
    <t>Furo para torneira ou outros acessórios em bancada</t>
  </si>
  <si>
    <t>Furo para torneira ou outros acessórios  em bancada de mármore/ granito ou outro tipo de pedra natural</t>
  </si>
  <si>
    <t>PLANILHA ORÇAMENTÁRIA</t>
  </si>
  <si>
    <t>ESPECIFICAÇÃO</t>
  </si>
  <si>
    <t>QUANT</t>
  </si>
  <si>
    <t>UNIT SEM BDI (R$)</t>
  </si>
  <si>
    <t>UNIT COM BDI (R$)</t>
  </si>
  <si>
    <t xml:space="preserve"> TOTAL (R$)</t>
  </si>
  <si>
    <t>ADMINISTRAÇÃO LOCAL</t>
  </si>
  <si>
    <t>1.01</t>
  </si>
  <si>
    <t>Tabela A/ 2016</t>
  </si>
  <si>
    <t>CREA-PI</t>
  </si>
  <si>
    <t>Art da obra</t>
  </si>
  <si>
    <t>1.02</t>
  </si>
  <si>
    <t>comp. 02</t>
  </si>
  <si>
    <t>74077/003</t>
  </si>
  <si>
    <t>Demolição de alvenaria de tijolos ceramico sem reaproveitamento</t>
  </si>
  <si>
    <t>comp.05</t>
  </si>
  <si>
    <t>comp. 06</t>
  </si>
  <si>
    <t>comp. 01</t>
  </si>
  <si>
    <t>PISOS</t>
  </si>
  <si>
    <t>C2426</t>
  </si>
  <si>
    <t>cobertura com telha termoacustica</t>
  </si>
  <si>
    <t xml:space="preserve">Argamassa traço 1:6 (cimento, e areia média) para emboço/massa única/assentamento de alvenaria de vedação, preparo mecânico com betoneira 400 l. Af_06/2014 </t>
  </si>
  <si>
    <t xml:space="preserve">Comp. </t>
  </si>
  <si>
    <t>INSTALAÇÃO SOM</t>
  </si>
  <si>
    <t>INCENDIO</t>
  </si>
  <si>
    <t xml:space="preserve">Luminária de emergência com 48 Leds c/bloco automitico </t>
  </si>
  <si>
    <t>Luminárias tipo calha, de sobrepor, com reatores de partida rápida e lâmpadas fluorescentes 2x2x18w, completas, fornecimento e instalação</t>
  </si>
  <si>
    <t>Luminárias tipo calha, de sobrepor, com reatores de partida rápida e lâmpadas fluorescentes 2x2x36w, completas, fornecimento e instalação</t>
  </si>
  <si>
    <t>DRENAGEM AR CONDICIONADO</t>
  </si>
  <si>
    <t>Ponto sanitário, material e execução - copa e area de serviço</t>
  </si>
  <si>
    <t>Ponto hidráulico, material e execução - copa e area de serviço</t>
  </si>
  <si>
    <t>Torneira 20mm x 1/2" -  WC Presidencia</t>
  </si>
  <si>
    <t>Torneira cromada com arejador para pia de cozinha, DECA, linha targa 1159C40 ou similar</t>
  </si>
  <si>
    <t>orneira cromada de mesa para lavatório temporizada bica baixa</t>
  </si>
  <si>
    <t>COMP</t>
  </si>
  <si>
    <t>Torneira cromada 1/2" ou 3/4" para tanque, padrão médio - fornecimento e instalação. af_12/2013</t>
  </si>
  <si>
    <t>Tanque de mármore sintético com coluna, 22l ou equivalente, incluso sifão flexível em pvc, válvula plástica e torneira de plástico - fornecimento e instalação. af_12/2013</t>
  </si>
  <si>
    <t>Cuba de aço inox 304, dimensões 35 x 40cm, para instalação em bancada, c/ válvula cromada (deca ref 1623), sifão cromado (deca ref c1680), torneira cromada (deca linha c40 ref 1159) e engate de plástico ou similares</t>
  </si>
  <si>
    <t>Cuba de embutir oval (deca linha ref l37) p/ instalação em bancadas, c/ sifão cromado (deca ref c1680) , engate cromado (deca) ou similares</t>
  </si>
  <si>
    <t xml:space="preserve"> INATALAÇÕES SANITÁRIAS </t>
  </si>
  <si>
    <t>REFERENCIA</t>
  </si>
  <si>
    <t>CODIGO</t>
  </si>
  <si>
    <t>UNTARIO</t>
  </si>
  <si>
    <t>09889/ORSE</t>
  </si>
  <si>
    <t>Forro de fibra mineral Armstrong Clean Room FL ou similar - fornecimento e instalação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</si>
  <si>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</si>
  <si>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>orse</t>
  </si>
  <si>
    <t>isolante acustico com placas de espuma poliuretano da sonex 75/75</t>
  </si>
  <si>
    <t>INSTALAÇÕES</t>
  </si>
  <si>
    <t>Divisória em vidro temperado 10 mm, liso, transparente, com ferragens</t>
  </si>
  <si>
    <t>Esquadria de alumínio tipo maxiar</t>
  </si>
  <si>
    <t>REFORMA DO PRÉDIO SUB SEDE-COREN-PARNAIBA</t>
  </si>
  <si>
    <t>10.1</t>
  </si>
  <si>
    <t>10.3</t>
  </si>
  <si>
    <t>10.4</t>
  </si>
  <si>
    <t>10.5</t>
  </si>
  <si>
    <t>10.6</t>
  </si>
  <si>
    <t>10.7</t>
  </si>
  <si>
    <t>Ponto para sistema de SEGURANÇA - material e execução (incluso braçadeira p/ fixação, caixa estampada 4''x6'', caixa de ligação, eletroduto de pvc rígido 3/4'', fio paralelo isolado (2 x 1,50)mm2 e acessórios)</t>
  </si>
  <si>
    <t>2.5</t>
  </si>
  <si>
    <t>2.6</t>
  </si>
  <si>
    <t>2.7</t>
  </si>
  <si>
    <t>2.8</t>
  </si>
  <si>
    <t>2.9</t>
  </si>
  <si>
    <t>..</t>
  </si>
  <si>
    <t>3.1</t>
  </si>
  <si>
    <t>3.3</t>
  </si>
  <si>
    <t>Demolição de revestimento piso ceramico</t>
  </si>
  <si>
    <t>Demolição de concreto Simples</t>
  </si>
  <si>
    <t>5.3</t>
  </si>
  <si>
    <t>5.4</t>
  </si>
  <si>
    <t>5.5</t>
  </si>
  <si>
    <t>Armário em MDF</t>
  </si>
  <si>
    <t>6.2</t>
  </si>
  <si>
    <t>6.3</t>
  </si>
  <si>
    <t>6.4</t>
  </si>
  <si>
    <t>9.3</t>
  </si>
  <si>
    <t>9.5</t>
  </si>
  <si>
    <t>9.6</t>
  </si>
  <si>
    <t>9.7</t>
  </si>
  <si>
    <t>9.8</t>
  </si>
  <si>
    <t>9.9</t>
  </si>
  <si>
    <t>9.10</t>
  </si>
  <si>
    <t>Serviço:</t>
  </si>
  <si>
    <t xml:space="preserve">Data: </t>
  </si>
  <si>
    <t>CRONOGRAMA FISICO E FINANCEIRO</t>
  </si>
  <si>
    <t>VALOR R$</t>
  </si>
  <si>
    <t>1º mês</t>
  </si>
  <si>
    <t>2º mês</t>
  </si>
  <si>
    <t>3º mês</t>
  </si>
  <si>
    <t>4º mês</t>
  </si>
  <si>
    <t>3</t>
  </si>
  <si>
    <t>4</t>
  </si>
  <si>
    <t>5</t>
  </si>
  <si>
    <t>6</t>
  </si>
  <si>
    <t>7</t>
  </si>
  <si>
    <t>8</t>
  </si>
  <si>
    <t>9</t>
  </si>
  <si>
    <t>10</t>
  </si>
  <si>
    <t>2</t>
  </si>
  <si>
    <t>11</t>
  </si>
  <si>
    <t>TOTAL PARCIAL (R$)</t>
  </si>
  <si>
    <t>TOTAL ACUMULADO (R$)</t>
  </si>
  <si>
    <t>11.0</t>
  </si>
  <si>
    <t>11.1</t>
  </si>
  <si>
    <t>11.2</t>
  </si>
  <si>
    <t>11.3</t>
  </si>
  <si>
    <t>11.4</t>
  </si>
  <si>
    <t>11.5</t>
  </si>
  <si>
    <t>11.6</t>
  </si>
  <si>
    <t>REFORMA E AMPLIAÇÃO DA SUBSEÇÃO DO COREN NA CIDADE DE PARNAIBA</t>
  </si>
  <si>
    <t>LOCAL:</t>
  </si>
  <si>
    <t>MEMÓRIA DE CÁLCULO DO BDI P/ SERVIÇOS DE CONSTRUÇÃO CIVIL</t>
  </si>
  <si>
    <t>PERCENTUAL</t>
  </si>
  <si>
    <t>Custo financeiro (CF)</t>
  </si>
  <si>
    <t>Administração central (AC)</t>
  </si>
  <si>
    <t>Seguro (S)</t>
  </si>
  <si>
    <t>Garantia (G)</t>
  </si>
  <si>
    <t>Risco (R)</t>
  </si>
  <si>
    <t>Tributos sobre Nota Fiscal (T)</t>
  </si>
  <si>
    <t>PIS - Programa de Integração Social</t>
  </si>
  <si>
    <t>COFINS - Financiamento da Seguridade Social</t>
  </si>
  <si>
    <t>IRPJ</t>
  </si>
  <si>
    <t>CSLL</t>
  </si>
  <si>
    <t>6.5</t>
  </si>
  <si>
    <t>ISS - PMT</t>
  </si>
  <si>
    <t>6.6</t>
  </si>
  <si>
    <t>CPRB</t>
  </si>
  <si>
    <t>Lucro bruto (LB)</t>
  </si>
  <si>
    <t>Total</t>
  </si>
  <si>
    <t>Referências:</t>
  </si>
  <si>
    <t xml:space="preserve">Acórdãos 325/2007, 2369/2011 e 2622/2013 do TCU - Tribunal de Contas da União. </t>
  </si>
  <si>
    <t>MEMÓRIA DE CÁLCULO DO BDI DIFERENCIADO</t>
  </si>
  <si>
    <t>Referência:</t>
  </si>
  <si>
    <t>Súmula 253/2010 do TCU - Tribunal de Contas da União.</t>
  </si>
  <si>
    <t>BDI = (((1+AC+S+G+R)x(1+CF)x(1+LB+))/(1-T))-1</t>
  </si>
  <si>
    <t>REFORMA DO PRÉDIO SUB SEDE-COREN PARNAIBA</t>
  </si>
  <si>
    <t>MEMÓRIA DE CÁLCULO DE ENCARGOS E LEIS SOCIAIS (COM DESONERAÇÃO)</t>
  </si>
  <si>
    <t>HORISTAS %</t>
  </si>
  <si>
    <t>PERC. %</t>
  </si>
  <si>
    <t>GRUPO A</t>
  </si>
  <si>
    <t>A1</t>
  </si>
  <si>
    <t>INSS - Previdência Social</t>
  </si>
  <si>
    <t>A2</t>
  </si>
  <si>
    <t>SESI - Serviço Social da Indústria</t>
  </si>
  <si>
    <t>A3</t>
  </si>
  <si>
    <t>SENAI - Serviço Nacional de Aprendizagem Industrial</t>
  </si>
  <si>
    <t>A4</t>
  </si>
  <si>
    <t>INCRA - Intituto Nacional de Colonização e Reforma Agrária</t>
  </si>
  <si>
    <t>A5</t>
  </si>
  <si>
    <t>SEBRAE - Serviço de Apoio a Pequena e Média Empresa</t>
  </si>
  <si>
    <t>A6</t>
  </si>
  <si>
    <t>Salário Educação</t>
  </si>
  <si>
    <t>A7</t>
  </si>
  <si>
    <t>Seguro Contra Acidentes de Trabalho</t>
  </si>
  <si>
    <t>A8</t>
  </si>
  <si>
    <t>FGTS - Fundo de Garantia do Tempo de Serviço</t>
  </si>
  <si>
    <t>A9</t>
  </si>
  <si>
    <t>SECONCI - Serviço Social da Construção Civil</t>
  </si>
  <si>
    <t>A</t>
  </si>
  <si>
    <t>Total dos Encargos Sociais Básicos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</si>
  <si>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</si>
  <si>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</si>
  <si>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</si>
  <si>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</si>
  <si>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</si>
  <si>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</si>
  <si>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</si>
  <si>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Auxílio-Enfermidade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</si>
  <si>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</si>
  <si>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</si>
  <si>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</si>
  <si>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</si>
  <si>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</si>
  <si>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</si>
  <si>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</si>
  <si>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</si>
  <si>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</si>
  <si>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</si>
  <si>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</si>
  <si>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</si>
  <si>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</si>
  <si>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</si>
  <si>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</si>
  <si>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</si>
  <si>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</si>
  <si>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</si>
  <si>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</si>
  <si>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</si>
  <si>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</si>
  <si>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</si>
  <si>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</si>
  <si>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</si>
  <si>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</si>
  <si>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</si>
  <si>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</si>
  <si>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Total de Encargos Sociais que não recebem as incidências globais da A</t>
  </si>
  <si>
    <t>GRUPO D</t>
  </si>
  <si>
    <t>D1</t>
  </si>
  <si>
    <t>Reincidência de A sobre B</t>
  </si>
  <si>
    <t>D2</t>
  </si>
  <si>
    <t>Reincidência de Grupo A sobre Aviso Prévio Trabalhado e Reincidência do FGTS sobre Aviso Prévio Indenizado</t>
  </si>
  <si>
    <t>D</t>
  </si>
  <si>
    <t>Total das Taxas incidências e reincidências</t>
  </si>
  <si>
    <t>Total (A + B + C + D)</t>
  </si>
  <si>
    <t>CEF - Caixa Econômica Federal</t>
  </si>
  <si>
    <t>SINAPI - Sistema Nacional de Pesquisa de Custos e Índices da Construção Civil</t>
  </si>
  <si>
    <t>CIDADE DE PARNAIBA</t>
  </si>
  <si>
    <t>INTERRUPTOR SIMPLES (3 MÓDULOS), 10A/250V, INCLUINDO SUPORTE E PLACA FORNECIMENTO E</t>
  </si>
  <si>
    <t>INTERRUPTOR SIMPLES (2 MÓDULOS) COM  1 TOMADA DE EMBUTIR 2P+T  10 A, INCLUINDO SUPORTE E</t>
  </si>
  <si>
    <t>INTERRUPTOR SIMPLES (2 MÓDULOS), 10A/250V, INCLUINDO SUPORTE E PLACA FORNECIMENTO E</t>
  </si>
  <si>
    <t>INTERRUPTOR SIMPLES (1 MÓDULO), 10A/250V, INCLUINDO SUPORTE E PLACA FORNECIMENTO E</t>
  </si>
  <si>
    <t>TOMADA MÉDIA DE EMBUTIR (1 MÓDULO), 2P+T  10 A, INCLUINDO SUPORTE E PLACA - FORNECIMENTO E</t>
  </si>
  <si>
    <t>TOMADA MÉDIA DE EMBUTIR (2 MÓDULOS), 2P+T  10 A, INCLUINDO SUPORTE E PLACA - FORNECIMENTO</t>
  </si>
  <si>
    <t>74130/001</t>
  </si>
  <si>
    <t>DISJUNTOR TERMOMAGNETICO MONOPOLAR PADRAO NEMA (AMERICANO) 10 A 30A 240V,</t>
  </si>
  <si>
    <t>74130/002</t>
  </si>
  <si>
    <t>DISJUNTOR TERMOMAGNETICO MONOPOLAR PADRAO NEMA (AMERICANO) 35 A 50A 240V,</t>
  </si>
  <si>
    <t>74130/004</t>
  </si>
  <si>
    <t>DISJUNTOR TERMOMAGNETICO TRIPOLAR PADRAO NEMA (AMERICANO) 10 A 50A 240V,  FORNECIMENTO</t>
  </si>
  <si>
    <t>74130/005</t>
  </si>
  <si>
    <t>DISJUNTOR TERMOMAGNETICO TRIPOLAR PADRAO NEMA (AMERICANO) 60 A 100A  240V,</t>
  </si>
  <si>
    <t>LAMPADA FLUORESCENTE 40W  - FORNECIMENTO E INSTALACAO</t>
  </si>
  <si>
    <t>REATOR PARA  LAMPADA FLUORESCENTE 2X40W PARTIDA RAPIDA FORNECIMENTO E INSTALACAO</t>
  </si>
  <si>
    <t>CABO DE COBRE FLEXÍVEL ISOLADO, 2,5 MM²,  ANTI-CHAMA 450/750 V, PARA  CIRCUITOS TERMINAIS -</t>
  </si>
  <si>
    <t>CABO DE COBRE FLEXÍVEL ISOLADO, 4 MM²,  ANTI-CHAMA 450/750 V, PARA  CIRCUITOS TERMINAIS -</t>
  </si>
  <si>
    <t>CABO DE COBRE FLEXÍVEL ISOLADO, 6 MM²,  ANTI-CHAMA 450/750 V, PARA  CIRCUITOS TERMINAIS -</t>
  </si>
  <si>
    <t>ELETRODUTO RÍGIDO ROSCÁVEL, PVC,  DN 40 MM (1 1/4"),  PARA  CIRCUITOS TERMINAIS, INSTALADO EM</t>
  </si>
  <si>
    <t>ELETRODUTO DE PVC  RIGIDO ROSCAVEL DN 50MM (2"), INCL  CONEXOES, FORNECIMENTO E</t>
  </si>
  <si>
    <t>ELETRODUTO DE PVC  RIGIDO ROSCAVEL DN 75MM (3"), INCL  CONEXOES, FORNECIMENTO E</t>
  </si>
  <si>
    <t>9,00</t>
  </si>
  <si>
    <t>ELETRODUTO DE PVC  RIGIDO ROSCAVEL DN 110MM (4"), INCL  CONEXOES, FORNECIMENTO E</t>
  </si>
  <si>
    <t>ELETRODUTO FLEXÍVEL CORRUGADO, PVC,  DN 25 MM (3/4"),  PARA  CIRCUITOS TERMINAIS, INSTALADO</t>
  </si>
  <si>
    <t>CABO DE COBRE FLEXÍVEL ISOLADO, 10 MM²,  ANTI-CHAMA 450/750 V, PARA  CIRCUITOS TERMINAIS -</t>
  </si>
  <si>
    <t>CABO DE COBRE FLEXÍVEL ISOLADO, 16 MM²,  ANTI-CHAMA 450/750 V, PARA  CIRCUITOS TERMINAIS -</t>
  </si>
  <si>
    <t>CABO DE COBRE FLEXÍVEL ISOLADO, 25 MM²,  ANTI-CHAMA 450/750 V, PARA  DISTRIBUIÇÃO -</t>
  </si>
  <si>
    <t>CAIXA RETANGULAR 4" X 4" MÉDIA (1,30  M DO PISO), PVC,  INSTALADA EM PAREDE - FORNECIMENTO E</t>
  </si>
  <si>
    <t>CAIXA RETANGULAR 4" X 2" BAIXA (0,30  M DO PISO), PVC,  INSTALADA EM PAREDE - FORNECIMENTO E</t>
  </si>
  <si>
    <t>CAIXA OCTOGONAL 3" X 3", PVC,  INSTALADA EM LAJE  - FORNECIMENTO E INSTALAÇÃO</t>
  </si>
  <si>
    <t>74131/001</t>
  </si>
  <si>
    <t>QUADRO DE DISTRIBUICAO DE ENERGIA DE EMBUTIR, EM CHAPA METALICA, PARA 18 DISJUNTORES</t>
  </si>
  <si>
    <t>Revestimento de marquise em renobod(alumínio composto) espessura de 0,33mm cor azul</t>
  </si>
  <si>
    <t>Micro camera de segurança</t>
  </si>
  <si>
    <t>SPDA</t>
  </si>
  <si>
    <t xml:space="preserve">          </t>
  </si>
  <si>
    <t>Data:</t>
  </si>
  <si>
    <t xml:space="preserve">                      </t>
  </si>
  <si>
    <t>Obra:</t>
  </si>
  <si>
    <t>SISTEMA DE PROTEÇÃO CONTRA DESCARGAS ATMOSFÉRICAS</t>
  </si>
  <si>
    <t>REFORMA E APLIAÇÃO DO COREN-PARNAIBA</t>
  </si>
  <si>
    <t>PREÇOS  (R$)</t>
  </si>
  <si>
    <t>Fornecimento  e instalação de  eletroduto de  PVC  rígido antichama Ø 3/4", para proteção das descidas do SPDA.</t>
  </si>
  <si>
    <t>Instalação de haste de terra cobreada Ø 5/8"x2,40m, copperweld ou equivalente</t>
  </si>
  <si>
    <t>1.4</t>
  </si>
  <si>
    <t xml:space="preserve">Fornecimento  e  instalação  de  cabo  de  cobre  nu  têmpera  mole, #35mm² e demais acessórios </t>
  </si>
  <si>
    <t>1.5</t>
  </si>
  <si>
    <t xml:space="preserve">Fornecimento  e  instalação  de  cabo  de  cobre  nu  têmpera  mole, #50mm² e demais acessórios </t>
  </si>
  <si>
    <t>1.6</t>
  </si>
  <si>
    <t>Fornecimento e instalação de para-raio tipo Franklin e demais acessórios.</t>
  </si>
  <si>
    <t>Caixa de inspeção (ci), em anéis de concreto pré-moldado, dn 60mm, tampa concreto armado e fundo em concreto simples</t>
  </si>
  <si>
    <t>TOTAL (R$)</t>
  </si>
  <si>
    <t>COMPOSIÇÕES UNITÁRIAS  - INSTALAÇÕES DE SPDA</t>
  </si>
  <si>
    <t>SINAPI   91863</t>
  </si>
  <si>
    <t>Eletroduto de PVC rígido roscável dn 20 mm (3/4") incl. conexões (m)</t>
  </si>
  <si>
    <t>Eletroduto de pvc roscável de 3/4, sem luva</t>
  </si>
  <si>
    <t>Eletricista com encargos complementares</t>
  </si>
  <si>
    <t>Auxiliar de Eletricista com encargos complementares</t>
  </si>
  <si>
    <t>Haste de terra cooperweld 5/8” x 2,40 m (und)</t>
  </si>
  <si>
    <t>Haste de aterramento em aco com 2,40 m de comprimento e dn = 5/8", revestida com baixa camada de cobre, sem conector</t>
  </si>
  <si>
    <t>Fornecimento e instalaçào de isoladores p/ cabo de cobe nu têmpera mole, #35mm (und)</t>
  </si>
  <si>
    <t>Suporte isolador simples rosca soberba c/ isolador</t>
  </si>
  <si>
    <t>SINAPI    72253</t>
  </si>
  <si>
    <t>Cabo de cobre nu 35mm2 - Fornecimento e instalação (m)</t>
  </si>
  <si>
    <t>Cabo de cobre nu 35mm²</t>
  </si>
  <si>
    <t>SINAPI    72254</t>
  </si>
  <si>
    <t>Cabo de cobre nu 50mm2 - Fornecimento e instalação (m)</t>
  </si>
  <si>
    <t>Cabo de cobre nu 50mm²</t>
  </si>
  <si>
    <t>Fornecimento e instalação de para-raio tipo Franklin e demais acessórios. (und)</t>
  </si>
  <si>
    <t>Pára-raios tipo Franklin 350 mm, em latão cromado, duas descidas, para proteção de edificações contra descargas atmosféricas</t>
  </si>
  <si>
    <t xml:space="preserve"> Parafuso de fixação com bucha plástica 8 mm</t>
  </si>
  <si>
    <t>Conector metálico tipo parafuso fendido (split bolt), com separador de cabos bimetalicos, para cabos ate 50 mm2</t>
  </si>
  <si>
    <t>Conjunto de estais 2" para mastro d=2" (pára-raio)</t>
  </si>
  <si>
    <t>Suporte isolador reforcado diametro nominal 5/16", com rosca soberba e bucha</t>
  </si>
  <si>
    <t>Tubo aco galv c/ costura din 2440/nbr 5580 classe media dn 2" (50mm) e=3,65mm - 5,10kg/m</t>
  </si>
  <si>
    <t>Base para mastro de para-raios diametro nominal 2"</t>
  </si>
  <si>
    <t>SINAPI  74166/001</t>
  </si>
  <si>
    <t>Caixa de inspeção em concreto pré-moldado dn 60mm com tampa (und)</t>
  </si>
  <si>
    <t>Caixa inspeção, concreto pré moldado, circular, com tampa, d = 60* cm, h= 60* cm</t>
  </si>
  <si>
    <t>Auxiliar de encanador ou bombeiro hidráulico com encargos complementares</t>
  </si>
  <si>
    <t>Encanador ou bombeiro hidráulico com encargos complementares</t>
  </si>
  <si>
    <t>fornecimento e instalação de de isoladores para cabo nu de 35mm2</t>
  </si>
  <si>
    <t>TOTAL DO ORÇAMENTO</t>
  </si>
  <si>
    <t>INSTALAÇÕES HIDRAULICAS</t>
  </si>
  <si>
    <t>Forro de gesso acartonado cor branca placa 1243 x 618mm, instalado</t>
  </si>
  <si>
    <t>Estrutura madeira caibros e ripas  p/ cobertura telhas cerâmica-prensada tipo americana, com reaproveitamento de 30% da madeira</t>
  </si>
  <si>
    <t>comp. 03</t>
  </si>
  <si>
    <t>comp. 07</t>
  </si>
  <si>
    <t>Concreto armado (Pilares/ Vigas/ Cintas/) (m³)</t>
  </si>
  <si>
    <t xml:space="preserve">Grade de ferro com barra quadrada de 1/2" na vertical, barra 1quadrada de 1/2" na horizontal </t>
  </si>
  <si>
    <t>Comp. 03</t>
  </si>
  <si>
    <t>comp. 04</t>
  </si>
  <si>
    <t>Concreto armado (FUNDAÇÃO) (m³)</t>
  </si>
  <si>
    <t>Projeto executivo  de estrutura, elétrico; spda; incêncio</t>
  </si>
  <si>
    <t>Comp. 06</t>
  </si>
  <si>
    <t>comp.07</t>
  </si>
  <si>
    <t>aux.</t>
  </si>
  <si>
    <t>Revestimento cerâmico para piso tipo parcelanato polido 60x60cm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</si>
</sst>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.00_);_(* \(#,##0.00\);_(* \-??_);_(@_)"/>
    <numFmt numFmtId="167" formatCode="0.0000"/>
    <numFmt numFmtId="168" formatCode="0.000"/>
    <numFmt numFmtId="169" formatCode="#,##0.00\ ;&quot; (&quot;#,##0.00\);&quot; -&quot;#\ ;@\ "/>
    <numFmt numFmtId="170" formatCode="0.00000"/>
    <numFmt numFmtId="171" formatCode="_(&quot;R$ &quot;* #,##0.00_);_(&quot;R$ &quot;* \(#,##0.00\);_(&quot;R$ &quot;* \-??_);_(@_)"/>
    <numFmt numFmtId="172" formatCode="#,##0.000\ ;&quot; (&quot;#,##0.000\);&quot; -&quot;#.0\ ;@\ "/>
    <numFmt numFmtId="173" formatCode="_(&quot;R$&quot;* #,##0.00_);_(&quot;R$&quot;* \(#,##0.00\);_(&quot;R$&quot;* \-??_);_(@_)"/>
    <numFmt numFmtId="174" formatCode="_(* #,##0_);_(* \(#,##0\);_(* &quot;-&quot;??_);_(@_)"/>
    <numFmt numFmtId="175" formatCode="_(* #,##0.0000_);_(* \(#,##0.0000\);_(* &quot;-&quot;??_);_(@_)"/>
    <numFmt numFmtId="176" formatCode="000"/>
    <numFmt numFmtId="177" formatCode="_-* #,##0.0000_-;\-* #,##0.0000_-;_-* &quot;-&quot;??_-;_-@_-"/>
    <numFmt numFmtId="178" formatCode="&quot;Teresina,&quot;\ dd\ &quot;de&quot;\ mmmm\ &quot;de&quot;\ yyyy"/>
    <numFmt numFmtId="179" formatCode="mmm\-yy;@"/>
  </numFmts>
  <fonts count="50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times"/>
      <family val="2"/>
    </font>
    <font>
      <sz val="10"/>
      <name val="Arial times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4"/>
      <name val="Arial times"/>
      <family val="2"/>
    </font>
    <font>
      <sz val="14"/>
      <color indexed="8"/>
      <name val="Arial times"/>
      <family val="2"/>
    </font>
    <font>
      <sz val="14"/>
      <name val="Arial times"/>
      <family val="2"/>
    </font>
    <font>
      <sz val="14"/>
      <color theme="1"/>
      <name val="Arial times"/>
      <family val="2"/>
    </font>
    <font>
      <sz val="14"/>
      <color rgb="FF000000"/>
      <name val="Arial times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 times"/>
      <family val="2"/>
    </font>
    <font>
      <sz val="12"/>
      <color rgb="FF000000"/>
      <name val="Arial TIMES"/>
      <family val="2"/>
    </font>
    <font>
      <sz val="14"/>
      <name val="Arial"/>
      <family val="2"/>
    </font>
    <font>
      <b/>
      <sz val="11"/>
      <name val="Arial times"/>
      <family val="2"/>
    </font>
    <font>
      <sz val="11"/>
      <name val="Arial times"/>
      <family val="2"/>
    </font>
    <font>
      <sz val="8"/>
      <color indexed="8"/>
      <name val="Courier"/>
      <family val="3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color theme="1"/>
      <name val="Arial times"/>
      <family val="2"/>
    </font>
    <font>
      <sz val="8"/>
      <color rgb="FF000000"/>
      <name val="Verdana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Cambria"/>
      <family val="1"/>
      <scheme val="maj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Courier"/>
      <family val="3"/>
    </font>
    <font>
      <sz val="8"/>
      <name val="Verdana"/>
      <family val="2"/>
    </font>
    <font>
      <b/>
      <sz val="12"/>
      <color rgb="FFFF0000"/>
      <name val="Arial"/>
      <family val="2"/>
    </font>
    <font>
      <sz val="14"/>
      <color rgb="FFFF0000"/>
      <name val="Arial times"/>
      <family val="2"/>
    </font>
    <font>
      <b/>
      <sz val="14"/>
      <color rgb="FFFF0000"/>
      <name val="Arial times"/>
      <family val="2"/>
    </font>
    <font>
      <sz val="8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6" fontId="0" fillId="0" borderId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16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 applyFill="0" applyBorder="0" applyAlignment="0" applyProtection="0"/>
    <xf numFmtId="166" fontId="0" fillId="0" borderId="0" applyFill="0" applyBorder="0" applyAlignment="0" applyProtection="0"/>
    <xf numFmtId="173" fontId="0" fillId="0" borderId="0" applyFill="0" applyBorder="0" applyAlignment="0" applyProtection="0"/>
    <xf numFmtId="0" fontId="8" fillId="0" borderId="0">
      <alignment/>
      <protection/>
    </xf>
    <xf numFmtId="43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5">
    <xf numFmtId="0" fontId="0" fillId="0" borderId="0" xfId="0"/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21" applyFont="1" applyFill="1" applyBorder="1" applyAlignment="1">
      <alignment vertical="center" wrapText="1"/>
      <protection/>
    </xf>
    <xf numFmtId="0" fontId="5" fillId="2" borderId="1" xfId="21" applyFont="1" applyFill="1" applyBorder="1" applyAlignment="1">
      <alignment horizontal="center" vertical="center" wrapText="1"/>
      <protection/>
    </xf>
    <xf numFmtId="4" fontId="5" fillId="2" borderId="1" xfId="22" applyNumberFormat="1" applyFont="1" applyFill="1" applyBorder="1" applyAlignment="1" applyProtection="1">
      <alignment horizontal="right" vertical="center" wrapText="1"/>
      <protection/>
    </xf>
    <xf numFmtId="4" fontId="5" fillId="2" borderId="1" xfId="22" applyNumberFormat="1" applyFont="1" applyFill="1" applyBorder="1" applyAlignment="1" applyProtection="1">
      <alignment horizontal="center" vertical="center" wrapText="1"/>
      <protection/>
    </xf>
    <xf numFmtId="4" fontId="4" fillId="2" borderId="1" xfId="21" applyNumberFormat="1" applyFont="1" applyFill="1" applyBorder="1" applyAlignment="1">
      <alignment horizontal="right" vertical="center" wrapText="1"/>
      <protection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21" applyNumberFormat="1" applyFont="1" applyFill="1" applyBorder="1" applyAlignment="1">
      <alignment horizontal="right" vertical="center" wrapText="1"/>
      <protection/>
    </xf>
    <xf numFmtId="0" fontId="0" fillId="2" borderId="1" xfId="0" applyFont="1" applyFill="1" applyBorder="1" applyAlignment="1">
      <alignment vertical="center" wrapText="1"/>
    </xf>
    <xf numFmtId="0" fontId="0" fillId="2" borderId="1" xfId="21" applyFont="1" applyFill="1" applyBorder="1" applyAlignment="1">
      <alignment horizontal="center" vertical="center" wrapText="1"/>
      <protection/>
    </xf>
    <xf numFmtId="4" fontId="0" fillId="2" borderId="1" xfId="21" applyNumberFormat="1" applyFont="1" applyFill="1" applyBorder="1" applyAlignment="1">
      <alignment horizontal="right" vertical="center" wrapText="1"/>
      <protection/>
    </xf>
    <xf numFmtId="4" fontId="0" fillId="2" borderId="1" xfId="22" applyNumberFormat="1" applyFont="1" applyFill="1" applyBorder="1" applyAlignment="1" applyProtection="1">
      <alignment horizontal="right" vertical="center" wrapText="1"/>
      <protection/>
    </xf>
    <xf numFmtId="0" fontId="5" fillId="2" borderId="1" xfId="21" applyFont="1" applyFill="1" applyBorder="1" applyAlignment="1">
      <alignment vertical="center" wrapText="1"/>
      <protection/>
    </xf>
    <xf numFmtId="0" fontId="5" fillId="2" borderId="1" xfId="21" applyFont="1" applyFill="1" applyBorder="1" applyAlignment="1">
      <alignment horizontal="left" vertical="center" wrapText="1"/>
      <protection/>
    </xf>
    <xf numFmtId="0" fontId="5" fillId="2" borderId="1" xfId="0" applyNumberFormat="1" applyFont="1" applyFill="1" applyBorder="1" applyAlignment="1">
      <alignment vertical="center" wrapText="1"/>
    </xf>
    <xf numFmtId="4" fontId="5" fillId="2" borderId="1" xfId="22" applyNumberFormat="1" applyFont="1" applyFill="1" applyBorder="1" applyAlignment="1" applyProtection="1">
      <alignment horizontal="right" vertical="center" wrapText="1"/>
      <protection locked="0"/>
    </xf>
    <xf numFmtId="11" fontId="4" fillId="2" borderId="1" xfId="21" applyNumberFormat="1" applyFont="1" applyFill="1" applyBorder="1" applyAlignment="1">
      <alignment horizontal="center" vertical="center" wrapText="1"/>
      <protection/>
    </xf>
    <xf numFmtId="11" fontId="5" fillId="2" borderId="1" xfId="21" applyNumberFormat="1" applyFont="1" applyFill="1" applyBorder="1" applyAlignment="1">
      <alignment horizontal="center" vertical="center" wrapText="1"/>
      <protection/>
    </xf>
    <xf numFmtId="0" fontId="5" fillId="2" borderId="1" xfId="21" applyFont="1" applyFill="1" applyBorder="1" applyAlignment="1" applyProtection="1">
      <alignment horizontal="left" vertical="center" wrapText="1"/>
      <protection locked="0"/>
    </xf>
    <xf numFmtId="2" fontId="5" fillId="2" borderId="1" xfId="22" applyNumberFormat="1" applyFont="1" applyFill="1" applyBorder="1" applyAlignment="1" applyProtection="1">
      <alignment horizontal="right" vertical="center" wrapText="1"/>
      <protection/>
    </xf>
    <xf numFmtId="0" fontId="4" fillId="2" borderId="1" xfId="21" applyFont="1" applyFill="1" applyBorder="1" applyAlignment="1" applyProtection="1">
      <alignment horizontal="left" vertical="center" wrapText="1"/>
      <protection locked="0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22" applyNumberFormat="1" applyFont="1" applyFill="1" applyBorder="1" applyAlignment="1" applyProtection="1">
      <alignment horizontal="right" vertical="center" wrapText="1"/>
      <protection/>
    </xf>
    <xf numFmtId="0" fontId="5" fillId="2" borderId="1" xfId="0" applyNumberFormat="1" applyFont="1" applyFill="1" applyBorder="1" applyAlignment="1">
      <alignment horizontal="center" vertical="center" wrapText="1"/>
    </xf>
    <xf numFmtId="164" fontId="5" fillId="2" borderId="1" xfId="20" applyNumberFormat="1" applyFont="1" applyFill="1" applyBorder="1" applyAlignment="1">
      <alignment horizontal="center" vertical="center" wrapText="1"/>
    </xf>
    <xf numFmtId="0" fontId="3" fillId="2" borderId="1" xfId="21" applyFont="1" applyFill="1" applyBorder="1" applyAlignment="1">
      <alignment horizontal="center" vertical="center" wrapText="1"/>
      <protection/>
    </xf>
    <xf numFmtId="0" fontId="0" fillId="2" borderId="1" xfId="21" applyFont="1" applyFill="1" applyBorder="1" applyAlignment="1">
      <alignment vertical="center" wrapText="1"/>
      <protection/>
    </xf>
    <xf numFmtId="0" fontId="0" fillId="2" borderId="1" xfId="21" applyFont="1" applyFill="1" applyBorder="1" applyAlignment="1">
      <alignment horizontal="left" vertical="center" wrapText="1"/>
      <protection/>
    </xf>
    <xf numFmtId="11" fontId="0" fillId="2" borderId="1" xfId="21" applyNumberFormat="1" applyFont="1" applyFill="1" applyBorder="1" applyAlignment="1">
      <alignment horizontal="center" vertical="center" wrapText="1"/>
      <protection/>
    </xf>
    <xf numFmtId="0" fontId="5" fillId="2" borderId="1" xfId="21" applyFont="1" applyFill="1" applyBorder="1" applyAlignment="1">
      <alignment vertical="center" wrapText="1"/>
      <protection/>
    </xf>
    <xf numFmtId="0" fontId="9" fillId="2" borderId="1" xfId="23" applyFont="1" applyFill="1" applyBorder="1" applyAlignment="1">
      <alignment horizontal="center" vertical="center" wrapText="1"/>
      <protection/>
    </xf>
    <xf numFmtId="0" fontId="6" fillId="2" borderId="2" xfId="24" applyFont="1" applyFill="1" applyBorder="1" applyAlignment="1">
      <alignment horizontal="center" vertical="center" wrapText="1"/>
      <protection/>
    </xf>
    <xf numFmtId="0" fontId="6" fillId="2" borderId="1" xfId="24" applyFont="1" applyFill="1" applyBorder="1" applyAlignment="1">
      <alignment horizontal="center" vertical="center" wrapText="1"/>
      <protection/>
    </xf>
    <xf numFmtId="167" fontId="6" fillId="2" borderId="1" xfId="24" applyNumberFormat="1" applyFont="1" applyFill="1" applyBorder="1" applyAlignment="1">
      <alignment horizontal="center" vertical="center" wrapText="1"/>
      <protection/>
    </xf>
    <xf numFmtId="4" fontId="6" fillId="2" borderId="1" xfId="24" applyNumberFormat="1" applyFont="1" applyFill="1" applyBorder="1" applyAlignment="1">
      <alignment horizontal="center" vertical="center" wrapText="1"/>
      <protection/>
    </xf>
    <xf numFmtId="0" fontId="6" fillId="2" borderId="3" xfId="23" applyFont="1" applyFill="1" applyBorder="1" applyAlignment="1">
      <alignment horizontal="center" vertical="center"/>
      <protection/>
    </xf>
    <xf numFmtId="0" fontId="6" fillId="2" borderId="4" xfId="24" applyFont="1" applyFill="1" applyBorder="1" applyAlignment="1">
      <alignment horizontal="left" vertical="center" wrapText="1"/>
      <protection/>
    </xf>
    <xf numFmtId="0" fontId="6" fillId="2" borderId="3" xfId="24" applyFont="1" applyFill="1" applyBorder="1" applyAlignment="1">
      <alignment horizontal="center" vertical="center"/>
      <protection/>
    </xf>
    <xf numFmtId="168" fontId="6" fillId="2" borderId="3" xfId="24" applyNumberFormat="1" applyFont="1" applyFill="1" applyBorder="1" applyAlignment="1">
      <alignment horizontal="center" vertical="center"/>
      <protection/>
    </xf>
    <xf numFmtId="4" fontId="6" fillId="2" borderId="3" xfId="24" applyNumberFormat="1" applyFont="1" applyFill="1" applyBorder="1" applyAlignment="1">
      <alignment horizontal="center" vertical="center"/>
      <protection/>
    </xf>
    <xf numFmtId="0" fontId="6" fillId="2" borderId="3" xfId="25" applyNumberFormat="1" applyFont="1" applyFill="1" applyBorder="1" applyAlignment="1" applyProtection="1">
      <alignment horizontal="center" vertical="center"/>
      <protection/>
    </xf>
    <xf numFmtId="0" fontId="6" fillId="2" borderId="1" xfId="24" applyFont="1" applyFill="1" applyBorder="1" applyAlignment="1">
      <alignment horizontal="center" vertical="center"/>
      <protection/>
    </xf>
    <xf numFmtId="168" fontId="6" fillId="2" borderId="1" xfId="26" applyNumberFormat="1" applyFont="1" applyFill="1" applyBorder="1" applyAlignment="1" applyProtection="1">
      <alignment horizontal="center" vertical="center"/>
      <protection/>
    </xf>
    <xf numFmtId="4" fontId="6" fillId="2" borderId="1" xfId="24" applyNumberFormat="1" applyFont="1" applyFill="1" applyBorder="1" applyAlignment="1">
      <alignment horizontal="center" vertical="center"/>
      <protection/>
    </xf>
    <xf numFmtId="0" fontId="6" fillId="2" borderId="1" xfId="25" applyNumberFormat="1" applyFont="1" applyFill="1" applyBorder="1" applyAlignment="1" applyProtection="1">
      <alignment horizontal="center" vertical="center"/>
      <protection/>
    </xf>
    <xf numFmtId="0" fontId="7" fillId="2" borderId="1" xfId="24" applyFont="1" applyFill="1" applyBorder="1" applyAlignment="1">
      <alignment horizontal="center" vertical="center"/>
      <protection/>
    </xf>
    <xf numFmtId="167" fontId="7" fillId="2" borderId="1" xfId="24" applyNumberFormat="1" applyFont="1" applyFill="1" applyBorder="1" applyAlignment="1">
      <alignment horizontal="center" vertical="center"/>
      <protection/>
    </xf>
    <xf numFmtId="4" fontId="7" fillId="2" borderId="1" xfId="24" applyNumberFormat="1" applyFont="1" applyFill="1" applyBorder="1" applyAlignment="1">
      <alignment horizontal="center" vertical="center"/>
      <protection/>
    </xf>
    <xf numFmtId="0" fontId="7" fillId="2" borderId="1" xfId="25" applyNumberFormat="1" applyFont="1" applyFill="1" applyBorder="1" applyAlignment="1" applyProtection="1">
      <alignment horizontal="center" vertical="center"/>
      <protection/>
    </xf>
    <xf numFmtId="0" fontId="7" fillId="2" borderId="0" xfId="24" applyFont="1" applyFill="1" applyBorder="1" applyAlignment="1">
      <alignment horizontal="left" vertical="center"/>
      <protection/>
    </xf>
    <xf numFmtId="0" fontId="7" fillId="2" borderId="0" xfId="24" applyFont="1" applyFill="1" applyBorder="1" applyAlignment="1">
      <alignment horizontal="center" vertical="center"/>
      <protection/>
    </xf>
    <xf numFmtId="167" fontId="7" fillId="2" borderId="0" xfId="24" applyNumberFormat="1" applyFont="1" applyFill="1" applyBorder="1" applyAlignment="1">
      <alignment horizontal="center" vertical="center"/>
      <protection/>
    </xf>
    <xf numFmtId="4" fontId="7" fillId="2" borderId="0" xfId="24" applyNumberFormat="1" applyFont="1" applyFill="1" applyBorder="1" applyAlignment="1">
      <alignment horizontal="center" vertical="center"/>
      <protection/>
    </xf>
    <xf numFmtId="166" fontId="7" fillId="2" borderId="0" xfId="25" applyNumberFormat="1" applyFont="1" applyFill="1" applyBorder="1" applyAlignment="1" applyProtection="1">
      <alignment horizontal="center" vertical="center"/>
      <protection/>
    </xf>
    <xf numFmtId="0" fontId="7" fillId="2" borderId="1" xfId="23" applyFont="1" applyFill="1" applyBorder="1" applyAlignment="1">
      <alignment horizontal="center" vertical="center" wrapText="1"/>
      <protection/>
    </xf>
    <xf numFmtId="0" fontId="6" fillId="2" borderId="1" xfId="23" applyFont="1" applyFill="1" applyBorder="1" applyAlignment="1">
      <alignment horizontal="center" vertical="center"/>
      <protection/>
    </xf>
    <xf numFmtId="0" fontId="6" fillId="2" borderId="5" xfId="24" applyFont="1" applyFill="1" applyBorder="1" applyAlignment="1">
      <alignment horizontal="left" vertical="center" wrapText="1"/>
      <protection/>
    </xf>
    <xf numFmtId="0" fontId="6" fillId="2" borderId="6" xfId="24" applyFont="1" applyFill="1" applyBorder="1" applyAlignment="1">
      <alignment horizontal="center" vertical="center"/>
      <protection/>
    </xf>
    <xf numFmtId="168" fontId="6" fillId="2" borderId="6" xfId="24" applyNumberFormat="1" applyFont="1" applyFill="1" applyBorder="1" applyAlignment="1">
      <alignment horizontal="center" vertical="center"/>
      <protection/>
    </xf>
    <xf numFmtId="2" fontId="6" fillId="2" borderId="6" xfId="24" applyNumberFormat="1" applyFont="1" applyFill="1" applyBorder="1" applyAlignment="1">
      <alignment horizontal="center" vertical="center" wrapText="1"/>
      <protection/>
    </xf>
    <xf numFmtId="0" fontId="6" fillId="2" borderId="1" xfId="0" applyFont="1" applyFill="1" applyBorder="1"/>
    <xf numFmtId="168" fontId="6" fillId="2" borderId="1" xfId="24" applyNumberFormat="1" applyFont="1" applyFill="1" applyBorder="1" applyAlignment="1">
      <alignment horizontal="center" vertical="center"/>
      <protection/>
    </xf>
    <xf numFmtId="0" fontId="7" fillId="2" borderId="7" xfId="24" applyFont="1" applyFill="1" applyBorder="1" applyAlignment="1">
      <alignment horizontal="center" vertical="center"/>
      <protection/>
    </xf>
    <xf numFmtId="167" fontId="7" fillId="2" borderId="8" xfId="24" applyNumberFormat="1" applyFont="1" applyFill="1" applyBorder="1" applyAlignment="1">
      <alignment horizontal="center" vertical="center"/>
      <protection/>
    </xf>
    <xf numFmtId="4" fontId="7" fillId="2" borderId="8" xfId="24" applyNumberFormat="1" applyFont="1" applyFill="1" applyBorder="1" applyAlignment="1">
      <alignment horizontal="center" vertical="center"/>
      <protection/>
    </xf>
    <xf numFmtId="0" fontId="7" fillId="2" borderId="1" xfId="24" applyFont="1" applyFill="1" applyBorder="1" applyAlignment="1">
      <alignment horizontal="left" vertical="center"/>
      <protection/>
    </xf>
    <xf numFmtId="0" fontId="7" fillId="2" borderId="2" xfId="24" applyFont="1" applyFill="1" applyBorder="1" applyAlignment="1">
      <alignment horizontal="left" vertical="center"/>
      <protection/>
    </xf>
    <xf numFmtId="0" fontId="7" fillId="2" borderId="9" xfId="24" applyFont="1" applyFill="1" applyBorder="1" applyAlignment="1">
      <alignment horizontal="center" vertical="center"/>
      <protection/>
    </xf>
    <xf numFmtId="167" fontId="7" fillId="2" borderId="9" xfId="24" applyNumberFormat="1" applyFont="1" applyFill="1" applyBorder="1" applyAlignment="1">
      <alignment horizontal="center" vertical="center"/>
      <protection/>
    </xf>
    <xf numFmtId="4" fontId="7" fillId="2" borderId="9" xfId="24" applyNumberFormat="1" applyFont="1" applyFill="1" applyBorder="1" applyAlignment="1">
      <alignment horizontal="center" vertical="center"/>
      <protection/>
    </xf>
    <xf numFmtId="166" fontId="7" fillId="2" borderId="10" xfId="25" applyNumberFormat="1" applyFont="1" applyFill="1" applyBorder="1" applyAlignment="1" applyProtection="1">
      <alignment horizontal="center" vertical="center"/>
      <protection/>
    </xf>
    <xf numFmtId="0" fontId="6" fillId="2" borderId="2" xfId="24" applyFont="1" applyFill="1" applyBorder="1" applyAlignment="1">
      <alignment horizontal="left" vertical="center" wrapText="1"/>
      <protection/>
    </xf>
    <xf numFmtId="0" fontId="6" fillId="2" borderId="1" xfId="23" applyFont="1" applyFill="1" applyBorder="1" applyAlignment="1">
      <alignment horizontal="center" vertical="center" wrapText="1"/>
      <protection/>
    </xf>
    <xf numFmtId="0" fontId="6" fillId="2" borderId="1" xfId="24" applyFont="1" applyFill="1" applyBorder="1" applyAlignment="1">
      <alignment horizontal="left" vertical="center" wrapText="1"/>
      <protection/>
    </xf>
    <xf numFmtId="2" fontId="6" fillId="2" borderId="1" xfId="25" applyNumberFormat="1" applyFont="1" applyFill="1" applyBorder="1" applyAlignment="1" applyProtection="1">
      <alignment horizontal="center" vertical="center"/>
      <protection/>
    </xf>
    <xf numFmtId="0" fontId="6" fillId="2" borderId="2" xfId="24" applyFont="1" applyFill="1" applyBorder="1" applyAlignment="1">
      <alignment horizontal="left" vertical="center"/>
      <protection/>
    </xf>
    <xf numFmtId="166" fontId="7" fillId="2" borderId="0" xfId="25" applyNumberFormat="1" applyFont="1" applyFill="1" applyBorder="1" applyAlignment="1" applyProtection="1">
      <alignment horizontal="right" vertical="center"/>
      <protection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/>
    <xf numFmtId="167" fontId="6" fillId="2" borderId="0" xfId="0" applyNumberFormat="1" applyFont="1" applyFill="1"/>
    <xf numFmtId="0" fontId="7" fillId="2" borderId="1" xfId="24" applyFont="1" applyFill="1" applyBorder="1" applyAlignment="1">
      <alignment horizontal="center" vertical="center" wrapText="1"/>
      <protection/>
    </xf>
    <xf numFmtId="0" fontId="6" fillId="2" borderId="2" xfId="23" applyFont="1" applyFill="1" applyBorder="1" applyAlignment="1">
      <alignment horizontal="center" vertical="center" wrapText="1"/>
      <protection/>
    </xf>
    <xf numFmtId="170" fontId="6" fillId="2" borderId="1" xfId="23" applyNumberFormat="1" applyFont="1" applyFill="1" applyBorder="1" applyAlignment="1">
      <alignment horizontal="center" vertical="center" wrapText="1"/>
      <protection/>
    </xf>
    <xf numFmtId="4" fontId="6" fillId="2" borderId="1" xfId="23" applyNumberFormat="1" applyFont="1" applyFill="1" applyBorder="1" applyAlignment="1">
      <alignment horizontal="center" vertical="center" wrapText="1"/>
      <protection/>
    </xf>
    <xf numFmtId="0" fontId="6" fillId="2" borderId="2" xfId="24" applyFont="1" applyFill="1" applyBorder="1" applyAlignment="1">
      <alignment horizontal="center" vertical="center"/>
      <protection/>
    </xf>
    <xf numFmtId="0" fontId="6" fillId="2" borderId="3" xfId="24" applyFont="1" applyFill="1" applyBorder="1" applyAlignment="1">
      <alignment horizontal="left" vertical="center" wrapText="1"/>
      <protection/>
    </xf>
    <xf numFmtId="0" fontId="6" fillId="2" borderId="1" xfId="27" applyFont="1" applyFill="1" applyBorder="1" applyAlignment="1">
      <alignment horizontal="center" vertical="center"/>
      <protection/>
    </xf>
    <xf numFmtId="168" fontId="6" fillId="2" borderId="1" xfId="27" applyNumberFormat="1" applyFont="1" applyFill="1" applyBorder="1" applyAlignment="1">
      <alignment horizontal="center" vertical="center"/>
      <protection/>
    </xf>
    <xf numFmtId="4" fontId="6" fillId="2" borderId="1" xfId="27" applyNumberFormat="1" applyFont="1" applyFill="1" applyBorder="1" applyAlignment="1">
      <alignment horizontal="center" vertical="center"/>
      <protection/>
    </xf>
    <xf numFmtId="168" fontId="7" fillId="2" borderId="1" xfId="24" applyNumberFormat="1" applyFont="1" applyFill="1" applyBorder="1" applyAlignment="1">
      <alignment horizontal="center" vertical="center"/>
      <protection/>
    </xf>
    <xf numFmtId="0" fontId="10" fillId="2" borderId="1" xfId="23" applyFont="1" applyFill="1" applyBorder="1" applyAlignment="1">
      <alignment horizontal="center" vertical="center"/>
      <protection/>
    </xf>
    <xf numFmtId="1" fontId="10" fillId="2" borderId="3" xfId="23" applyNumberFormat="1" applyFont="1" applyFill="1" applyBorder="1" applyAlignment="1">
      <alignment horizontal="center" vertical="center"/>
      <protection/>
    </xf>
    <xf numFmtId="4" fontId="7" fillId="2" borderId="10" xfId="24" applyNumberFormat="1" applyFont="1" applyFill="1" applyBorder="1" applyAlignment="1">
      <alignment horizontal="center" vertical="center"/>
      <protection/>
    </xf>
    <xf numFmtId="168" fontId="11" fillId="2" borderId="1" xfId="26" applyNumberFormat="1" applyFont="1" applyFill="1" applyBorder="1" applyAlignment="1" applyProtection="1">
      <alignment horizontal="center" vertical="center"/>
      <protection/>
    </xf>
    <xf numFmtId="0" fontId="7" fillId="2" borderId="2" xfId="24" applyFont="1" applyFill="1" applyBorder="1" applyAlignment="1">
      <alignment horizontal="center" vertical="center" wrapText="1"/>
      <protection/>
    </xf>
    <xf numFmtId="0" fontId="7" fillId="2" borderId="9" xfId="24" applyFont="1" applyFill="1" applyBorder="1" applyAlignment="1">
      <alignment horizontal="center" vertical="center" wrapText="1"/>
      <protection/>
    </xf>
    <xf numFmtId="0" fontId="7" fillId="2" borderId="10" xfId="24" applyFont="1" applyFill="1" applyBorder="1" applyAlignment="1">
      <alignment horizontal="center" vertical="center" wrapText="1"/>
      <protection/>
    </xf>
    <xf numFmtId="0" fontId="6" fillId="2" borderId="9" xfId="24" applyFont="1" applyFill="1" applyBorder="1" applyAlignment="1">
      <alignment horizontal="center" vertical="center" wrapText="1"/>
      <protection/>
    </xf>
    <xf numFmtId="0" fontId="6" fillId="2" borderId="10" xfId="24" applyFont="1" applyFill="1" applyBorder="1" applyAlignment="1">
      <alignment horizontal="center" vertical="center" wrapText="1"/>
      <protection/>
    </xf>
    <xf numFmtId="0" fontId="12" fillId="2" borderId="1" xfId="24" applyFont="1" applyFill="1" applyBorder="1" applyAlignment="1">
      <alignment horizontal="center" vertical="center" wrapText="1"/>
      <protection/>
    </xf>
    <xf numFmtId="0" fontId="13" fillId="2" borderId="1" xfId="23" applyFont="1" applyFill="1" applyBorder="1" applyAlignment="1">
      <alignment horizontal="center" vertical="center"/>
      <protection/>
    </xf>
    <xf numFmtId="0" fontId="14" fillId="2" borderId="2" xfId="23" applyFont="1" applyFill="1" applyBorder="1" applyAlignment="1">
      <alignment horizontal="center" vertical="center" wrapText="1"/>
      <protection/>
    </xf>
    <xf numFmtId="0" fontId="14" fillId="2" borderId="1" xfId="23" applyFont="1" applyFill="1" applyBorder="1" applyAlignment="1">
      <alignment horizontal="center" vertical="center" wrapText="1"/>
      <protection/>
    </xf>
    <xf numFmtId="170" fontId="14" fillId="2" borderId="1" xfId="23" applyNumberFormat="1" applyFont="1" applyFill="1" applyBorder="1" applyAlignment="1">
      <alignment horizontal="center" vertical="center" wrapText="1"/>
      <protection/>
    </xf>
    <xf numFmtId="4" fontId="14" fillId="2" borderId="1" xfId="23" applyNumberFormat="1" applyFont="1" applyFill="1" applyBorder="1" applyAlignment="1">
      <alignment horizontal="center" vertical="center" wrapText="1"/>
      <protection/>
    </xf>
    <xf numFmtId="1" fontId="13" fillId="2" borderId="3" xfId="23" applyNumberFormat="1" applyFont="1" applyFill="1" applyBorder="1" applyAlignment="1">
      <alignment horizontal="center" vertical="center"/>
      <protection/>
    </xf>
    <xf numFmtId="0" fontId="14" fillId="2" borderId="3" xfId="24" applyFont="1" applyFill="1" applyBorder="1" applyAlignment="1">
      <alignment horizontal="left" vertical="center" wrapText="1"/>
      <protection/>
    </xf>
    <xf numFmtId="0" fontId="14" fillId="2" borderId="1" xfId="24" applyFont="1" applyFill="1" applyBorder="1" applyAlignment="1">
      <alignment horizontal="center" vertical="center"/>
      <protection/>
    </xf>
    <xf numFmtId="168" fontId="14" fillId="2" borderId="1" xfId="24" applyNumberFormat="1" applyFont="1" applyFill="1" applyBorder="1" applyAlignment="1">
      <alignment horizontal="center" vertical="center"/>
      <protection/>
    </xf>
    <xf numFmtId="4" fontId="14" fillId="2" borderId="1" xfId="24" applyNumberFormat="1" applyFont="1" applyFill="1" applyBorder="1" applyAlignment="1">
      <alignment horizontal="center" vertical="center"/>
      <protection/>
    </xf>
    <xf numFmtId="168" fontId="14" fillId="2" borderId="1" xfId="26" applyNumberFormat="1" applyFont="1" applyFill="1" applyBorder="1" applyAlignment="1" applyProtection="1">
      <alignment horizontal="center" vertical="center"/>
      <protection/>
    </xf>
    <xf numFmtId="0" fontId="12" fillId="2" borderId="1" xfId="24" applyFont="1" applyFill="1" applyBorder="1" applyAlignment="1">
      <alignment horizontal="center" vertical="center"/>
      <protection/>
    </xf>
    <xf numFmtId="168" fontId="12" fillId="2" borderId="1" xfId="24" applyNumberFormat="1" applyFont="1" applyFill="1" applyBorder="1" applyAlignment="1">
      <alignment horizontal="center" vertical="center"/>
      <protection/>
    </xf>
    <xf numFmtId="4" fontId="12" fillId="2" borderId="1" xfId="24" applyNumberFormat="1" applyFont="1" applyFill="1" applyBorder="1" applyAlignment="1">
      <alignment horizontal="center" vertical="center"/>
      <protection/>
    </xf>
    <xf numFmtId="0" fontId="14" fillId="2" borderId="0" xfId="0" applyFont="1" applyFill="1"/>
    <xf numFmtId="0" fontId="14" fillId="2" borderId="2" xfId="24" applyFont="1" applyFill="1" applyBorder="1" applyAlignment="1">
      <alignment horizontal="center" vertical="center"/>
      <protection/>
    </xf>
    <xf numFmtId="0" fontId="14" fillId="2" borderId="2" xfId="24" applyFont="1" applyFill="1" applyBorder="1" applyAlignment="1">
      <alignment horizontal="left" vertical="center"/>
      <protection/>
    </xf>
    <xf numFmtId="0" fontId="12" fillId="2" borderId="1" xfId="24" applyFont="1" applyFill="1" applyBorder="1" applyAlignment="1">
      <alignment horizontal="left" vertical="center"/>
      <protection/>
    </xf>
    <xf numFmtId="0" fontId="12" fillId="2" borderId="2" xfId="24" applyFont="1" applyFill="1" applyBorder="1" applyAlignment="1">
      <alignment horizontal="left" vertical="center"/>
      <protection/>
    </xf>
    <xf numFmtId="0" fontId="12" fillId="2" borderId="9" xfId="24" applyFont="1" applyFill="1" applyBorder="1" applyAlignment="1">
      <alignment horizontal="center" vertical="center"/>
      <protection/>
    </xf>
    <xf numFmtId="168" fontId="12" fillId="2" borderId="9" xfId="24" applyNumberFormat="1" applyFont="1" applyFill="1" applyBorder="1" applyAlignment="1">
      <alignment horizontal="center" vertical="center"/>
      <protection/>
    </xf>
    <xf numFmtId="4" fontId="12" fillId="2" borderId="9" xfId="24" applyNumberFormat="1" applyFont="1" applyFill="1" applyBorder="1" applyAlignment="1">
      <alignment horizontal="center" vertical="center"/>
      <protection/>
    </xf>
    <xf numFmtId="4" fontId="12" fillId="2" borderId="10" xfId="24" applyNumberFormat="1" applyFont="1" applyFill="1" applyBorder="1" applyAlignment="1">
      <alignment horizontal="center" vertical="center"/>
      <protection/>
    </xf>
    <xf numFmtId="0" fontId="14" fillId="2" borderId="1" xfId="23" applyFont="1" applyFill="1" applyBorder="1" applyAlignment="1">
      <alignment horizontal="center" vertical="center"/>
      <protection/>
    </xf>
    <xf numFmtId="0" fontId="14" fillId="2" borderId="1" xfId="24" applyFont="1" applyFill="1" applyBorder="1" applyAlignment="1">
      <alignment horizontal="left" vertical="center" wrapText="1"/>
      <protection/>
    </xf>
    <xf numFmtId="0" fontId="14" fillId="2" borderId="6" xfId="23" applyFont="1" applyFill="1" applyBorder="1" applyAlignment="1">
      <alignment horizontal="center" vertical="center"/>
      <protection/>
    </xf>
    <xf numFmtId="0" fontId="14" fillId="2" borderId="11" xfId="24" applyFont="1" applyFill="1" applyBorder="1" applyAlignment="1">
      <alignment horizontal="left" vertical="center" wrapText="1"/>
      <protection/>
    </xf>
    <xf numFmtId="0" fontId="14" fillId="2" borderId="6" xfId="24" applyFont="1" applyFill="1" applyBorder="1" applyAlignment="1">
      <alignment horizontal="center" vertical="center"/>
      <protection/>
    </xf>
    <xf numFmtId="168" fontId="14" fillId="2" borderId="6" xfId="24" applyNumberFormat="1" applyFont="1" applyFill="1" applyBorder="1" applyAlignment="1">
      <alignment horizontal="center" vertical="center"/>
      <protection/>
    </xf>
    <xf numFmtId="4" fontId="14" fillId="2" borderId="6" xfId="24" applyNumberFormat="1" applyFont="1" applyFill="1" applyBorder="1" applyAlignment="1">
      <alignment horizontal="center" vertical="center"/>
      <protection/>
    </xf>
    <xf numFmtId="0" fontId="14" fillId="2" borderId="3" xfId="24" applyFont="1" applyFill="1" applyBorder="1" applyAlignment="1">
      <alignment horizontal="center" vertical="center"/>
      <protection/>
    </xf>
    <xf numFmtId="0" fontId="14" fillId="2" borderId="12" xfId="24" applyFont="1" applyFill="1" applyBorder="1" applyAlignment="1">
      <alignment horizontal="left" vertical="center" wrapText="1"/>
      <protection/>
    </xf>
    <xf numFmtId="168" fontId="14" fillId="2" borderId="3" xfId="24" applyNumberFormat="1" applyFont="1" applyFill="1" applyBorder="1" applyAlignment="1">
      <alignment horizontal="center" vertical="center"/>
      <protection/>
    </xf>
    <xf numFmtId="4" fontId="14" fillId="2" borderId="3" xfId="24" applyNumberFormat="1" applyFont="1" applyFill="1" applyBorder="1" applyAlignment="1">
      <alignment horizontal="center" vertical="center"/>
      <protection/>
    </xf>
    <xf numFmtId="0" fontId="14" fillId="2" borderId="1" xfId="27" applyFont="1" applyFill="1" applyBorder="1" applyAlignment="1">
      <alignment horizontal="center" vertical="center"/>
      <protection/>
    </xf>
    <xf numFmtId="168" fontId="14" fillId="2" borderId="1" xfId="27" applyNumberFormat="1" applyFont="1" applyFill="1" applyBorder="1" applyAlignment="1">
      <alignment horizontal="center" vertical="center"/>
      <protection/>
    </xf>
    <xf numFmtId="4" fontId="15" fillId="2" borderId="1" xfId="27" applyNumberFormat="1" applyFont="1" applyFill="1" applyBorder="1" applyAlignment="1">
      <alignment horizontal="center" vertical="center"/>
      <protection/>
    </xf>
    <xf numFmtId="4" fontId="14" fillId="2" borderId="1" xfId="27" applyNumberFormat="1" applyFont="1" applyFill="1" applyBorder="1" applyAlignment="1">
      <alignment horizontal="center" vertical="center"/>
      <protection/>
    </xf>
    <xf numFmtId="0" fontId="14" fillId="2" borderId="2" xfId="23" applyFont="1" applyFill="1" applyBorder="1" applyAlignment="1">
      <alignment horizontal="center" vertical="center"/>
      <protection/>
    </xf>
    <xf numFmtId="0" fontId="14" fillId="2" borderId="9" xfId="24" applyFont="1" applyFill="1" applyBorder="1" applyAlignment="1">
      <alignment horizontal="left" vertical="center" wrapText="1"/>
      <protection/>
    </xf>
    <xf numFmtId="170" fontId="14" fillId="2" borderId="1" xfId="24" applyNumberFormat="1" applyFont="1" applyFill="1" applyBorder="1" applyAlignment="1">
      <alignment horizontal="center" vertical="center"/>
      <protection/>
    </xf>
    <xf numFmtId="0" fontId="14" fillId="2" borderId="2" xfId="24" applyFont="1" applyFill="1" applyBorder="1" applyAlignment="1">
      <alignment horizontal="left" vertical="center" wrapText="1"/>
      <protection/>
    </xf>
    <xf numFmtId="170" fontId="14" fillId="2" borderId="1" xfId="27" applyNumberFormat="1" applyFont="1" applyFill="1" applyBorder="1" applyAlignment="1">
      <alignment horizontal="center" vertical="center"/>
      <protection/>
    </xf>
    <xf numFmtId="0" fontId="14" fillId="2" borderId="1" xfId="24" applyFont="1" applyFill="1" applyBorder="1" applyAlignment="1">
      <alignment horizontal="left" vertical="center"/>
      <protection/>
    </xf>
    <xf numFmtId="2" fontId="14" fillId="2" borderId="1" xfId="26" applyNumberFormat="1" applyFont="1" applyFill="1" applyBorder="1" applyAlignment="1" applyProtection="1">
      <alignment horizontal="center" vertical="center"/>
      <protection/>
    </xf>
    <xf numFmtId="0" fontId="15" fillId="2" borderId="1" xfId="23" applyFont="1" applyFill="1" applyBorder="1" applyAlignment="1">
      <alignment horizontal="center" vertical="center"/>
      <protection/>
    </xf>
    <xf numFmtId="0" fontId="15" fillId="2" borderId="1" xfId="24" applyFont="1" applyFill="1" applyBorder="1" applyAlignment="1">
      <alignment horizontal="left" vertical="center" wrapText="1"/>
      <protection/>
    </xf>
    <xf numFmtId="0" fontId="15" fillId="2" borderId="1" xfId="24" applyFont="1" applyFill="1" applyBorder="1" applyAlignment="1">
      <alignment horizontal="center" vertical="center"/>
      <protection/>
    </xf>
    <xf numFmtId="168" fontId="15" fillId="2" borderId="1" xfId="24" applyNumberFormat="1" applyFont="1" applyFill="1" applyBorder="1" applyAlignment="1">
      <alignment horizontal="center" vertical="center"/>
      <protection/>
    </xf>
    <xf numFmtId="4" fontId="15" fillId="2" borderId="1" xfId="24" applyNumberFormat="1" applyFont="1" applyFill="1" applyBorder="1" applyAlignment="1">
      <alignment horizontal="center" vertical="center"/>
      <protection/>
    </xf>
    <xf numFmtId="0" fontId="15" fillId="2" borderId="2" xfId="24" applyFont="1" applyFill="1" applyBorder="1" applyAlignment="1">
      <alignment horizontal="center" vertical="center"/>
      <protection/>
    </xf>
    <xf numFmtId="2" fontId="15" fillId="2" borderId="1" xfId="24" applyNumberFormat="1" applyFont="1" applyFill="1" applyBorder="1" applyAlignment="1">
      <alignment horizontal="center" vertical="center"/>
      <protection/>
    </xf>
    <xf numFmtId="0" fontId="15" fillId="2" borderId="9" xfId="24" applyFont="1" applyFill="1" applyBorder="1" applyAlignment="1">
      <alignment horizontal="left" vertical="center" wrapText="1"/>
      <protection/>
    </xf>
    <xf numFmtId="0" fontId="15" fillId="2" borderId="2" xfId="24" applyFont="1" applyFill="1" applyBorder="1" applyAlignment="1">
      <alignment horizontal="left" vertical="center"/>
      <protection/>
    </xf>
    <xf numFmtId="0" fontId="15" fillId="2" borderId="3" xfId="24" applyFont="1" applyFill="1" applyBorder="1" applyAlignment="1">
      <alignment horizontal="left" vertical="center" wrapText="1"/>
      <protection/>
    </xf>
    <xf numFmtId="0" fontId="15" fillId="2" borderId="1" xfId="27" applyFont="1" applyFill="1" applyBorder="1" applyAlignment="1">
      <alignment horizontal="center" vertical="center"/>
      <protection/>
    </xf>
    <xf numFmtId="168" fontId="15" fillId="2" borderId="1" xfId="27" applyNumberFormat="1" applyFont="1" applyFill="1" applyBorder="1" applyAlignment="1">
      <alignment horizontal="center" vertical="center"/>
      <protection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/>
    <xf numFmtId="1" fontId="13" fillId="2" borderId="4" xfId="23" applyNumberFormat="1" applyFont="1" applyFill="1" applyBorder="1" applyAlignment="1">
      <alignment horizontal="center" vertical="center"/>
      <protection/>
    </xf>
    <xf numFmtId="0" fontId="14" fillId="2" borderId="10" xfId="24" applyFont="1" applyFill="1" applyBorder="1" applyAlignment="1">
      <alignment horizontal="center" vertical="center"/>
      <protection/>
    </xf>
    <xf numFmtId="168" fontId="14" fillId="2" borderId="9" xfId="24" applyNumberFormat="1" applyFont="1" applyFill="1" applyBorder="1" applyAlignment="1">
      <alignment horizontal="center" vertical="center"/>
      <protection/>
    </xf>
    <xf numFmtId="0" fontId="12" fillId="2" borderId="1" xfId="23" applyFont="1" applyFill="1" applyBorder="1" applyAlignment="1">
      <alignment horizontal="center" vertical="center" wrapText="1"/>
      <protection/>
    </xf>
    <xf numFmtId="0" fontId="14" fillId="3" borderId="1" xfId="28" applyNumberFormat="1" applyFont="1" applyFill="1" applyBorder="1" applyAlignment="1">
      <alignment horizontal="center" vertical="center"/>
      <protection/>
    </xf>
    <xf numFmtId="170" fontId="14" fillId="3" borderId="1" xfId="28" applyNumberFormat="1" applyFont="1" applyFill="1" applyBorder="1" applyAlignment="1">
      <alignment horizontal="center" vertical="center"/>
      <protection/>
    </xf>
    <xf numFmtId="4" fontId="14" fillId="3" borderId="1" xfId="28" applyNumberFormat="1" applyFont="1" applyFill="1" applyBorder="1" applyAlignment="1">
      <alignment horizontal="center" vertical="center"/>
      <protection/>
    </xf>
    <xf numFmtId="0" fontId="14" fillId="3" borderId="1" xfId="28" applyNumberFormat="1" applyFont="1" applyFill="1" applyBorder="1" applyAlignment="1">
      <alignment horizontal="center" vertical="center" wrapText="1"/>
      <protection/>
    </xf>
    <xf numFmtId="0" fontId="12" fillId="2" borderId="0" xfId="24" applyFont="1" applyFill="1" applyBorder="1" applyAlignment="1">
      <alignment horizontal="left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168" fontId="12" fillId="2" borderId="0" xfId="24" applyNumberFormat="1" applyFont="1" applyFill="1" applyBorder="1" applyAlignment="1">
      <alignment horizontal="center" vertical="center"/>
      <protection/>
    </xf>
    <xf numFmtId="4" fontId="12" fillId="2" borderId="0" xfId="24" applyNumberFormat="1" applyFont="1" applyFill="1" applyBorder="1" applyAlignment="1">
      <alignment horizontal="center" vertical="center"/>
      <protection/>
    </xf>
    <xf numFmtId="0" fontId="13" fillId="2" borderId="1" xfId="24" applyFont="1" applyFill="1" applyBorder="1" applyAlignment="1">
      <alignment horizontal="center" vertical="center"/>
      <protection/>
    </xf>
    <xf numFmtId="0" fontId="14" fillId="2" borderId="1" xfId="24" applyFont="1" applyFill="1" applyBorder="1" applyAlignment="1">
      <alignment horizontal="center" vertical="center" wrapText="1"/>
      <protection/>
    </xf>
    <xf numFmtId="170" fontId="14" fillId="2" borderId="1" xfId="24" applyNumberFormat="1" applyFont="1" applyFill="1" applyBorder="1" applyAlignment="1">
      <alignment horizontal="center" vertical="center" wrapText="1"/>
      <protection/>
    </xf>
    <xf numFmtId="4" fontId="14" fillId="2" borderId="1" xfId="24" applyNumberFormat="1" applyFont="1" applyFill="1" applyBorder="1" applyAlignment="1">
      <alignment horizontal="center" vertical="center" wrapText="1"/>
      <protection/>
    </xf>
    <xf numFmtId="1" fontId="13" fillId="2" borderId="3" xfId="24" applyNumberFormat="1" applyFont="1" applyFill="1" applyBorder="1" applyAlignment="1">
      <alignment horizontal="center" vertical="center"/>
      <protection/>
    </xf>
    <xf numFmtId="0" fontId="14" fillId="2" borderId="6" xfId="23" applyFont="1" applyFill="1" applyBorder="1" applyAlignment="1">
      <alignment horizontal="center" vertical="center"/>
      <protection/>
    </xf>
    <xf numFmtId="0" fontId="14" fillId="2" borderId="11" xfId="24" applyFont="1" applyFill="1" applyBorder="1" applyAlignment="1">
      <alignment horizontal="left" vertical="center" wrapText="1"/>
      <protection/>
    </xf>
    <xf numFmtId="0" fontId="14" fillId="2" borderId="6" xfId="24" applyFont="1" applyFill="1" applyBorder="1" applyAlignment="1">
      <alignment horizontal="center" vertical="center"/>
      <protection/>
    </xf>
    <xf numFmtId="168" fontId="14" fillId="2" borderId="6" xfId="24" applyNumberFormat="1" applyFont="1" applyFill="1" applyBorder="1" applyAlignment="1">
      <alignment horizontal="center" vertical="center"/>
      <protection/>
    </xf>
    <xf numFmtId="4" fontId="14" fillId="2" borderId="6" xfId="24" applyNumberFormat="1" applyFont="1" applyFill="1" applyBorder="1" applyAlignment="1">
      <alignment horizontal="center" vertical="center"/>
      <protection/>
    </xf>
    <xf numFmtId="0" fontId="14" fillId="2" borderId="0" xfId="0" applyFont="1" applyFill="1" applyBorder="1"/>
    <xf numFmtId="169" fontId="14" fillId="2" borderId="1" xfId="25" applyNumberFormat="1" applyFont="1" applyFill="1" applyBorder="1" applyAlignment="1">
      <alignment horizontal="center" vertical="center" wrapText="1"/>
    </xf>
    <xf numFmtId="172" fontId="14" fillId="2" borderId="1" xfId="25" applyNumberFormat="1" applyFont="1" applyFill="1" applyBorder="1" applyAlignment="1">
      <alignment horizontal="center" vertical="center"/>
    </xf>
    <xf numFmtId="172" fontId="14" fillId="2" borderId="9" xfId="25" applyNumberFormat="1" applyFont="1" applyFill="1" applyBorder="1" applyAlignment="1">
      <alignment horizontal="center" vertical="center"/>
    </xf>
    <xf numFmtId="172" fontId="14" fillId="2" borderId="1" xfId="25" applyNumberFormat="1" applyFont="1" applyFill="1" applyBorder="1" applyAlignment="1" applyProtection="1">
      <alignment horizontal="center" vertical="center"/>
      <protection/>
    </xf>
    <xf numFmtId="169" fontId="14" fillId="2" borderId="1" xfId="25" applyNumberFormat="1" applyFont="1" applyFill="1" applyBorder="1" applyAlignment="1">
      <alignment horizontal="center" vertical="center"/>
    </xf>
    <xf numFmtId="0" fontId="7" fillId="2" borderId="1" xfId="27" applyFont="1" applyFill="1" applyBorder="1" applyAlignment="1">
      <alignment horizontal="center" vertical="center" wrapText="1"/>
      <protection/>
    </xf>
    <xf numFmtId="0" fontId="6" fillId="2" borderId="1" xfId="27" applyFont="1" applyFill="1" applyBorder="1" applyAlignment="1">
      <alignment horizontal="left" vertical="center" wrapText="1"/>
      <protection/>
    </xf>
    <xf numFmtId="0" fontId="6" fillId="2" borderId="2" xfId="27" applyFont="1" applyFill="1" applyBorder="1" applyAlignment="1">
      <alignment horizontal="center" vertical="center"/>
      <protection/>
    </xf>
    <xf numFmtId="0" fontId="6" fillId="2" borderId="9" xfId="27" applyFont="1" applyFill="1" applyBorder="1" applyAlignment="1">
      <alignment horizontal="left" vertical="center" wrapText="1"/>
      <protection/>
    </xf>
    <xf numFmtId="0" fontId="6" fillId="2" borderId="3" xfId="27" applyFont="1" applyFill="1" applyBorder="1" applyAlignment="1">
      <alignment horizontal="center" vertical="center"/>
      <protection/>
    </xf>
    <xf numFmtId="0" fontId="6" fillId="2" borderId="12" xfId="27" applyFont="1" applyFill="1" applyBorder="1" applyAlignment="1">
      <alignment horizontal="left" vertical="center" wrapText="1"/>
      <protection/>
    </xf>
    <xf numFmtId="168" fontId="6" fillId="2" borderId="3" xfId="27" applyNumberFormat="1" applyFont="1" applyFill="1" applyBorder="1" applyAlignment="1">
      <alignment horizontal="center" vertical="center"/>
      <protection/>
    </xf>
    <xf numFmtId="4" fontId="6" fillId="2" borderId="3" xfId="27" applyNumberFormat="1" applyFont="1" applyFill="1" applyBorder="1" applyAlignment="1">
      <alignment horizontal="center" vertical="center"/>
      <protection/>
    </xf>
    <xf numFmtId="170" fontId="6" fillId="2" borderId="1" xfId="27" applyNumberFormat="1" applyFont="1" applyFill="1" applyBorder="1" applyAlignment="1">
      <alignment horizontal="center" vertical="center"/>
      <protection/>
    </xf>
    <xf numFmtId="0" fontId="7" fillId="2" borderId="1" xfId="27" applyFont="1" applyFill="1" applyBorder="1" applyAlignment="1">
      <alignment horizontal="center" vertical="center"/>
      <protection/>
    </xf>
    <xf numFmtId="168" fontId="7" fillId="2" borderId="1" xfId="27" applyNumberFormat="1" applyFont="1" applyFill="1" applyBorder="1" applyAlignment="1">
      <alignment horizontal="center" vertical="center"/>
      <protection/>
    </xf>
    <xf numFmtId="4" fontId="7" fillId="2" borderId="1" xfId="27" applyNumberFormat="1" applyFont="1" applyFill="1" applyBorder="1" applyAlignment="1">
      <alignment horizontal="center" vertical="center"/>
      <protection/>
    </xf>
    <xf numFmtId="168" fontId="7" fillId="2" borderId="0" xfId="24" applyNumberFormat="1" applyFont="1" applyFill="1" applyBorder="1" applyAlignment="1">
      <alignment horizontal="center" vertical="center"/>
      <protection/>
    </xf>
    <xf numFmtId="0" fontId="6" fillId="2" borderId="0" xfId="24" applyFont="1" applyFill="1" applyBorder="1">
      <alignment/>
      <protection/>
    </xf>
    <xf numFmtId="0" fontId="6" fillId="2" borderId="1" xfId="24" applyFont="1" applyFill="1" applyBorder="1" applyAlignment="1">
      <alignment horizontal="left" vertical="center"/>
      <protection/>
    </xf>
    <xf numFmtId="170" fontId="6" fillId="2" borderId="1" xfId="24" applyNumberFormat="1" applyFont="1" applyFill="1" applyBorder="1" applyAlignment="1">
      <alignment horizontal="center" vertical="center"/>
      <protection/>
    </xf>
    <xf numFmtId="168" fontId="6" fillId="2" borderId="13" xfId="23" applyNumberFormat="1" applyFont="1" applyFill="1" applyBorder="1" applyAlignment="1">
      <alignment horizontal="center" vertical="center"/>
      <protection/>
    </xf>
    <xf numFmtId="4" fontId="6" fillId="2" borderId="13" xfId="23" applyNumberFormat="1" applyFont="1" applyFill="1" applyBorder="1" applyAlignment="1">
      <alignment horizontal="center" vertical="center"/>
      <protection/>
    </xf>
    <xf numFmtId="168" fontId="6" fillId="2" borderId="1" xfId="23" applyNumberFormat="1" applyFont="1" applyFill="1" applyBorder="1" applyAlignment="1">
      <alignment horizontal="center" vertical="center"/>
      <protection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4" xfId="24" applyFont="1" applyFill="1" applyBorder="1" applyAlignment="1">
      <alignment horizontal="center" vertical="center"/>
      <protection/>
    </xf>
    <xf numFmtId="0" fontId="6" fillId="2" borderId="4" xfId="24" applyFont="1" applyFill="1" applyBorder="1" applyAlignment="1">
      <alignment horizontal="left" vertical="center"/>
      <protection/>
    </xf>
    <xf numFmtId="168" fontId="6" fillId="2" borderId="3" xfId="23" applyNumberFormat="1" applyFont="1" applyFill="1" applyBorder="1" applyAlignment="1">
      <alignment horizontal="center" vertical="center"/>
      <protection/>
    </xf>
    <xf numFmtId="1" fontId="10" fillId="2" borderId="1" xfId="23" applyNumberFormat="1" applyFont="1" applyFill="1" applyBorder="1" applyAlignment="1">
      <alignment horizontal="center" vertical="center"/>
      <protection/>
    </xf>
    <xf numFmtId="0" fontId="18" fillId="2" borderId="2" xfId="23" applyFont="1" applyFill="1" applyBorder="1" applyAlignment="1">
      <alignment horizontal="center" vertical="center" wrapText="1"/>
      <protection/>
    </xf>
    <xf numFmtId="0" fontId="18" fillId="2" borderId="1" xfId="23" applyFont="1" applyFill="1" applyBorder="1" applyAlignment="1">
      <alignment horizontal="center" vertical="center" wrapText="1"/>
      <protection/>
    </xf>
    <xf numFmtId="170" fontId="18" fillId="2" borderId="1" xfId="23" applyNumberFormat="1" applyFont="1" applyFill="1" applyBorder="1" applyAlignment="1">
      <alignment horizontal="center" vertical="center" wrapText="1"/>
      <protection/>
    </xf>
    <xf numFmtId="4" fontId="18" fillId="2" borderId="1" xfId="23" applyNumberFormat="1" applyFont="1" applyFill="1" applyBorder="1" applyAlignment="1">
      <alignment horizontal="center" vertical="center" wrapText="1"/>
      <protection/>
    </xf>
    <xf numFmtId="0" fontId="6" fillId="2" borderId="2" xfId="24" applyFont="1" applyFill="1" applyBorder="1" applyAlignment="1">
      <alignment vertical="center" wrapText="1"/>
      <protection/>
    </xf>
    <xf numFmtId="0" fontId="18" fillId="2" borderId="1" xfId="24" applyFont="1" applyFill="1" applyBorder="1" applyAlignment="1">
      <alignment horizontal="center" vertical="center"/>
      <protection/>
    </xf>
    <xf numFmtId="168" fontId="18" fillId="2" borderId="1" xfId="24" applyNumberFormat="1" applyFont="1" applyFill="1" applyBorder="1" applyAlignment="1">
      <alignment horizontal="center" vertical="center"/>
      <protection/>
    </xf>
    <xf numFmtId="4" fontId="18" fillId="2" borderId="1" xfId="24" applyNumberFormat="1" applyFont="1" applyFill="1" applyBorder="1" applyAlignment="1">
      <alignment horizontal="center" vertical="center"/>
      <protection/>
    </xf>
    <xf numFmtId="0" fontId="6" fillId="2" borderId="2" xfId="24" applyFont="1" applyFill="1" applyBorder="1" applyAlignment="1">
      <alignment vertical="center"/>
      <protection/>
    </xf>
    <xf numFmtId="4" fontId="18" fillId="2" borderId="1" xfId="0" applyNumberFormat="1" applyFont="1" applyFill="1" applyBorder="1" applyAlignment="1">
      <alignment horizontal="center" vertical="center"/>
    </xf>
    <xf numFmtId="168" fontId="18" fillId="2" borderId="1" xfId="26" applyNumberFormat="1" applyFont="1" applyFill="1" applyBorder="1" applyAlignment="1" applyProtection="1">
      <alignment horizontal="center" vertical="center"/>
      <protection/>
    </xf>
    <xf numFmtId="0" fontId="17" fillId="2" borderId="1" xfId="24" applyFont="1" applyFill="1" applyBorder="1" applyAlignment="1">
      <alignment horizontal="center" vertical="center"/>
      <protection/>
    </xf>
    <xf numFmtId="168" fontId="17" fillId="2" borderId="1" xfId="24" applyNumberFormat="1" applyFont="1" applyFill="1" applyBorder="1" applyAlignment="1">
      <alignment horizontal="center" vertical="center"/>
      <protection/>
    </xf>
    <xf numFmtId="4" fontId="17" fillId="2" borderId="1" xfId="24" applyNumberFormat="1" applyFont="1" applyFill="1" applyBorder="1" applyAlignment="1">
      <alignment horizontal="center" vertical="center"/>
      <protection/>
    </xf>
    <xf numFmtId="0" fontId="14" fillId="2" borderId="5" xfId="24" applyFont="1" applyFill="1" applyBorder="1" applyAlignment="1">
      <alignment horizontal="center" vertical="center"/>
      <protection/>
    </xf>
    <xf numFmtId="0" fontId="14" fillId="2" borderId="5" xfId="24" applyFont="1" applyFill="1" applyBorder="1" applyAlignment="1">
      <alignment horizontal="left" vertical="center"/>
      <protection/>
    </xf>
    <xf numFmtId="1" fontId="14" fillId="2" borderId="3" xfId="23" applyNumberFormat="1" applyFont="1" applyFill="1" applyBorder="1" applyAlignment="1">
      <alignment horizontal="center" vertical="center"/>
      <protection/>
    </xf>
    <xf numFmtId="0" fontId="12" fillId="2" borderId="9" xfId="21" applyFont="1" applyFill="1" applyBorder="1" applyAlignment="1">
      <alignment horizontal="center" vertical="center"/>
      <protection/>
    </xf>
    <xf numFmtId="0" fontId="12" fillId="2" borderId="11" xfId="21" applyFont="1" applyFill="1" applyBorder="1" applyAlignment="1">
      <alignment horizontal="center" vertical="center" wrapText="1"/>
      <protection/>
    </xf>
    <xf numFmtId="0" fontId="12" fillId="2" borderId="14" xfId="21" applyFont="1" applyFill="1" applyBorder="1" applyAlignment="1">
      <alignment horizontal="center" vertical="center" wrapText="1"/>
      <protection/>
    </xf>
    <xf numFmtId="167" fontId="14" fillId="2" borderId="1" xfId="24" applyNumberFormat="1" applyFont="1" applyFill="1" applyBorder="1" applyAlignment="1">
      <alignment horizontal="center" vertical="center"/>
      <protection/>
    </xf>
    <xf numFmtId="2" fontId="14" fillId="2" borderId="1" xfId="24" applyNumberFormat="1" applyFont="1" applyFill="1" applyBorder="1" applyAlignment="1">
      <alignment horizontal="center" vertical="center"/>
      <protection/>
    </xf>
    <xf numFmtId="0" fontId="14" fillId="2" borderId="4" xfId="24" applyFont="1" applyFill="1" applyBorder="1" applyAlignment="1">
      <alignment horizontal="center" vertical="center"/>
      <protection/>
    </xf>
    <xf numFmtId="168" fontId="14" fillId="2" borderId="1" xfId="24" applyNumberFormat="1" applyFont="1" applyFill="1" applyBorder="1" applyAlignment="1">
      <alignment horizontal="center" vertical="center" wrapText="1"/>
      <protection/>
    </xf>
    <xf numFmtId="4" fontId="14" fillId="2" borderId="1" xfId="0" applyNumberFormat="1" applyFont="1" applyFill="1" applyBorder="1" applyAlignment="1">
      <alignment horizontal="center" vertical="center"/>
    </xf>
    <xf numFmtId="0" fontId="14" fillId="2" borderId="3" xfId="23" applyFont="1" applyFill="1" applyBorder="1" applyAlignment="1">
      <alignment horizontal="center" vertical="center"/>
      <protection/>
    </xf>
    <xf numFmtId="0" fontId="14" fillId="2" borderId="4" xfId="24" applyFont="1" applyFill="1" applyBorder="1" applyAlignment="1">
      <alignment horizontal="left" vertical="center" wrapText="1"/>
      <protection/>
    </xf>
    <xf numFmtId="1" fontId="6" fillId="2" borderId="1" xfId="23" applyNumberFormat="1" applyFont="1" applyFill="1" applyBorder="1" applyAlignment="1">
      <alignment horizontal="center" vertical="center"/>
      <protection/>
    </xf>
    <xf numFmtId="2" fontId="6" fillId="2" borderId="1" xfId="23" applyNumberFormat="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10" fillId="2" borderId="1" xfId="23" applyFont="1" applyFill="1" applyBorder="1" applyAlignment="1">
      <alignment vertical="center"/>
      <protection/>
    </xf>
    <xf numFmtId="0" fontId="6" fillId="2" borderId="1" xfId="23" applyFont="1" applyFill="1" applyBorder="1" applyAlignment="1">
      <alignment vertical="center"/>
      <protection/>
    </xf>
    <xf numFmtId="0" fontId="6" fillId="2" borderId="1" xfId="0" applyFont="1" applyFill="1" applyBorder="1" applyAlignment="1">
      <alignment horizontal="left"/>
    </xf>
    <xf numFmtId="0" fontId="18" fillId="2" borderId="1" xfId="24" applyFont="1" applyFill="1" applyBorder="1" applyAlignment="1">
      <alignment horizontal="left" vertical="center" wrapText="1"/>
      <protection/>
    </xf>
    <xf numFmtId="1" fontId="18" fillId="2" borderId="1" xfId="23" applyNumberFormat="1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/>
    </xf>
    <xf numFmtId="0" fontId="9" fillId="2" borderId="0" xfId="23" applyFont="1" applyFill="1" applyAlignment="1">
      <alignment horizontal="center" vertical="center"/>
      <protection/>
    </xf>
    <xf numFmtId="0" fontId="10" fillId="2" borderId="2" xfId="24" applyFont="1" applyFill="1" applyBorder="1" applyAlignment="1">
      <alignment horizontal="center" vertical="center"/>
      <protection/>
    </xf>
    <xf numFmtId="0" fontId="10" fillId="2" borderId="9" xfId="24" applyFont="1" applyFill="1" applyBorder="1" applyAlignment="1">
      <alignment horizontal="center" vertical="center"/>
      <protection/>
    </xf>
    <xf numFmtId="0" fontId="10" fillId="2" borderId="10" xfId="24" applyFont="1" applyFill="1" applyBorder="1" applyAlignment="1">
      <alignment horizontal="center" vertical="center"/>
      <protection/>
    </xf>
    <xf numFmtId="0" fontId="6" fillId="2" borderId="10" xfId="24" applyFont="1" applyFill="1" applyBorder="1" applyAlignment="1">
      <alignment horizontal="left" vertical="center"/>
      <protection/>
    </xf>
    <xf numFmtId="168" fontId="7" fillId="2" borderId="9" xfId="24" applyNumberFormat="1" applyFont="1" applyFill="1" applyBorder="1" applyAlignment="1">
      <alignment horizontal="center" vertical="center"/>
      <protection/>
    </xf>
    <xf numFmtId="0" fontId="14" fillId="2" borderId="0" xfId="0" applyFont="1" applyFill="1" applyBorder="1" applyAlignment="1">
      <alignment vertical="center"/>
    </xf>
    <xf numFmtId="0" fontId="14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167" fontId="14" fillId="2" borderId="1" xfId="0" applyNumberFormat="1" applyFont="1" applyFill="1" applyBorder="1" applyAlignment="1">
      <alignment horizontal="center" vertical="center"/>
    </xf>
    <xf numFmtId="0" fontId="12" fillId="3" borderId="1" xfId="28" applyNumberFormat="1" applyFont="1" applyFill="1" applyBorder="1" applyAlignment="1">
      <alignment horizontal="center" vertical="center" wrapText="1"/>
      <protection/>
    </xf>
    <xf numFmtId="0" fontId="14" fillId="3" borderId="0" xfId="0" applyFont="1" applyFill="1" applyBorder="1"/>
    <xf numFmtId="0" fontId="16" fillId="3" borderId="1" xfId="28" applyNumberFormat="1" applyFont="1" applyFill="1" applyBorder="1" applyAlignment="1">
      <alignment horizontal="center" vertical="center"/>
      <protection/>
    </xf>
    <xf numFmtId="170" fontId="14" fillId="3" borderId="1" xfId="28" applyNumberFormat="1" applyFont="1" applyFill="1" applyBorder="1" applyAlignment="1">
      <alignment horizontal="center" vertical="center" wrapText="1"/>
      <protection/>
    </xf>
    <xf numFmtId="4" fontId="14" fillId="3" borderId="1" xfId="28" applyNumberFormat="1" applyFont="1" applyFill="1" applyBorder="1" applyAlignment="1">
      <alignment horizontal="center" vertical="center" wrapText="1"/>
      <protection/>
    </xf>
    <xf numFmtId="0" fontId="14" fillId="3" borderId="1" xfId="28" applyNumberFormat="1" applyFont="1" applyFill="1" applyBorder="1" applyAlignment="1">
      <alignment horizontal="left" vertical="center" wrapText="1"/>
      <protection/>
    </xf>
    <xf numFmtId="0" fontId="14" fillId="3" borderId="1" xfId="28" applyNumberFormat="1" applyFont="1" applyFill="1" applyBorder="1" applyAlignment="1">
      <alignment horizontal="left" vertical="center"/>
      <protection/>
    </xf>
    <xf numFmtId="0" fontId="12" fillId="3" borderId="1" xfId="28" applyNumberFormat="1" applyFont="1" applyFill="1" applyBorder="1" applyAlignment="1">
      <alignment horizontal="center" vertical="center"/>
      <protection/>
    </xf>
    <xf numFmtId="168" fontId="12" fillId="3" borderId="1" xfId="28" applyNumberFormat="1" applyFont="1" applyFill="1" applyBorder="1" applyAlignment="1">
      <alignment horizontal="center" vertical="center"/>
      <protection/>
    </xf>
    <xf numFmtId="4" fontId="12" fillId="3" borderId="1" xfId="28" applyNumberFormat="1" applyFont="1" applyFill="1" applyBorder="1" applyAlignment="1">
      <alignment horizontal="center" vertical="center"/>
      <protection/>
    </xf>
    <xf numFmtId="0" fontId="14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vertical="center" wrapText="1"/>
    </xf>
    <xf numFmtId="2" fontId="14" fillId="3" borderId="1" xfId="0" applyNumberFormat="1" applyFont="1" applyFill="1" applyBorder="1" applyAlignment="1">
      <alignment horizontal="center" vertical="center"/>
    </xf>
    <xf numFmtId="167" fontId="14" fillId="3" borderId="1" xfId="0" applyNumberFormat="1" applyFont="1" applyFill="1" applyBorder="1" applyAlignment="1">
      <alignment horizontal="center" vertical="center"/>
    </xf>
    <xf numFmtId="168" fontId="14" fillId="3" borderId="1" xfId="28" applyNumberFormat="1" applyFont="1" applyFill="1" applyBorder="1" applyAlignment="1">
      <alignment horizontal="center" vertical="center"/>
      <protection/>
    </xf>
    <xf numFmtId="168" fontId="14" fillId="3" borderId="1" xfId="28" applyNumberFormat="1" applyFont="1" applyFill="1" applyBorder="1" applyAlignment="1" applyProtection="1">
      <alignment horizontal="center" vertical="center"/>
      <protection/>
    </xf>
    <xf numFmtId="0" fontId="12" fillId="3" borderId="1" xfId="28" applyNumberFormat="1" applyFont="1" applyFill="1" applyBorder="1" applyAlignment="1">
      <alignment horizontal="left" vertical="center"/>
      <protection/>
    </xf>
    <xf numFmtId="2" fontId="19" fillId="3" borderId="1" xfId="0" applyNumberFormat="1" applyFont="1" applyFill="1" applyBorder="1" applyAlignment="1">
      <alignment vertical="center" wrapText="1"/>
    </xf>
    <xf numFmtId="0" fontId="19" fillId="3" borderId="1" xfId="28" applyNumberFormat="1" applyFont="1" applyFill="1" applyBorder="1" applyAlignment="1">
      <alignment horizontal="center" vertical="center"/>
      <protection/>
    </xf>
    <xf numFmtId="0" fontId="19" fillId="3" borderId="1" xfId="28" applyNumberFormat="1" applyFont="1" applyFill="1" applyBorder="1" applyAlignment="1">
      <alignment horizontal="left" vertical="center"/>
      <protection/>
    </xf>
    <xf numFmtId="168" fontId="19" fillId="3" borderId="1" xfId="28" applyNumberFormat="1" applyFont="1" applyFill="1" applyBorder="1" applyAlignment="1">
      <alignment horizontal="center" vertical="center"/>
      <protection/>
    </xf>
    <xf numFmtId="4" fontId="19" fillId="3" borderId="1" xfId="28" applyNumberFormat="1" applyFont="1" applyFill="1" applyBorder="1" applyAlignment="1">
      <alignment horizontal="center" vertical="center"/>
      <protection/>
    </xf>
    <xf numFmtId="0" fontId="19" fillId="3" borderId="1" xfId="28" applyNumberFormat="1" applyFont="1" applyFill="1" applyBorder="1" applyAlignment="1">
      <alignment horizontal="left" vertical="center" wrapText="1"/>
      <protection/>
    </xf>
    <xf numFmtId="0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168" fontId="21" fillId="0" borderId="1" xfId="0" applyNumberFormat="1" applyFont="1" applyFill="1" applyBorder="1" applyAlignment="1">
      <alignment horizontal="center" vertical="center"/>
    </xf>
    <xf numFmtId="4" fontId="21" fillId="0" borderId="1" xfId="24" applyNumberFormat="1" applyFont="1" applyFill="1" applyBorder="1" applyAlignment="1">
      <alignment horizontal="center" vertical="center"/>
      <protection/>
    </xf>
    <xf numFmtId="0" fontId="21" fillId="0" borderId="0" xfId="0" applyFont="1" applyBorder="1"/>
    <xf numFmtId="0" fontId="14" fillId="2" borderId="1" xfId="24" applyFont="1" applyFill="1" applyBorder="1" applyAlignment="1">
      <alignment vertical="center"/>
      <protection/>
    </xf>
    <xf numFmtId="0" fontId="14" fillId="2" borderId="1" xfId="24" applyFont="1" applyFill="1" applyBorder="1" applyAlignment="1">
      <alignment vertical="center" wrapText="1"/>
      <protection/>
    </xf>
    <xf numFmtId="0" fontId="13" fillId="2" borderId="1" xfId="24" applyFont="1" applyFill="1" applyBorder="1" applyAlignment="1">
      <alignment vertical="center"/>
      <protection/>
    </xf>
    <xf numFmtId="0" fontId="12" fillId="2" borderId="1" xfId="24" applyFont="1" applyFill="1" applyBorder="1" applyAlignment="1">
      <alignment vertical="center"/>
      <protection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0" borderId="1" xfId="24" applyFont="1" applyFill="1" applyBorder="1" applyAlignment="1">
      <alignment horizontal="center" vertical="center"/>
      <protection/>
    </xf>
    <xf numFmtId="168" fontId="12" fillId="0" borderId="1" xfId="24" applyNumberFormat="1" applyFont="1" applyFill="1" applyBorder="1" applyAlignment="1">
      <alignment horizontal="center" vertical="center"/>
      <protection/>
    </xf>
    <xf numFmtId="4" fontId="12" fillId="0" borderId="1" xfId="24" applyNumberFormat="1" applyFont="1" applyFill="1" applyBorder="1" applyAlignment="1">
      <alignment horizontal="center" vertical="center"/>
      <protection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169" fontId="23" fillId="2" borderId="1" xfId="25" applyFont="1" applyFill="1" applyBorder="1" applyAlignment="1" applyProtection="1">
      <alignment vertical="center"/>
      <protection locked="0"/>
    </xf>
    <xf numFmtId="4" fontId="23" fillId="2" borderId="1" xfId="25" applyNumberFormat="1" applyFont="1" applyFill="1" applyBorder="1" applyAlignment="1" applyProtection="1">
      <alignment horizontal="right" vertical="center" wrapText="1"/>
      <protection/>
    </xf>
    <xf numFmtId="0" fontId="22" fillId="2" borderId="1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169" fontId="23" fillId="2" borderId="1" xfId="25" applyFont="1" applyFill="1" applyBorder="1" applyAlignment="1" applyProtection="1">
      <alignment horizontal="center" vertical="center" wrapText="1"/>
      <protection/>
    </xf>
    <xf numFmtId="4" fontId="22" fillId="2" borderId="1" xfId="0" applyNumberFormat="1" applyFont="1" applyFill="1" applyBorder="1" applyAlignment="1">
      <alignment horizontal="center" vertical="center" wrapText="1"/>
    </xf>
    <xf numFmtId="169" fontId="22" fillId="2" borderId="1" xfId="25" applyFont="1" applyFill="1" applyBorder="1" applyAlignment="1" applyProtection="1">
      <alignment horizontal="center" vertical="center" wrapText="1"/>
      <protection/>
    </xf>
    <xf numFmtId="169" fontId="22" fillId="2" borderId="1" xfId="25" applyFont="1" applyFill="1" applyBorder="1" applyAlignment="1" applyProtection="1">
      <alignment horizontal="right" vertical="center" wrapText="1"/>
      <protection/>
    </xf>
    <xf numFmtId="4" fontId="5" fillId="2" borderId="1" xfId="21" applyNumberFormat="1" applyFont="1" applyFill="1" applyBorder="1" applyAlignment="1">
      <alignment horizontal="center" vertical="center" wrapText="1"/>
      <protection/>
    </xf>
    <xf numFmtId="174" fontId="5" fillId="2" borderId="1" xfId="20" applyNumberFormat="1" applyFont="1" applyFill="1" applyBorder="1" applyAlignment="1">
      <alignment horizontal="center" vertical="center" wrapText="1"/>
    </xf>
    <xf numFmtId="174" fontId="4" fillId="2" borderId="1" xfId="20" applyNumberFormat="1" applyFont="1" applyFill="1" applyBorder="1" applyAlignment="1">
      <alignment horizontal="center" vertical="center" wrapText="1"/>
    </xf>
    <xf numFmtId="174" fontId="0" fillId="2" borderId="1" xfId="20" applyNumberFormat="1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164" fontId="0" fillId="0" borderId="0" xfId="20" applyFont="1"/>
    <xf numFmtId="0" fontId="24" fillId="0" borderId="1" xfId="33" applyFont="1" applyBorder="1" applyAlignment="1">
      <alignment horizontal="center" vertical="center" wrapText="1"/>
      <protection/>
    </xf>
    <xf numFmtId="0" fontId="24" fillId="0" borderId="1" xfId="33" applyFont="1" applyBorder="1" applyAlignment="1">
      <alignment horizontal="left" vertical="center" wrapText="1"/>
      <protection/>
    </xf>
    <xf numFmtId="164" fontId="3" fillId="0" borderId="0" xfId="20" applyFont="1"/>
    <xf numFmtId="0" fontId="4" fillId="2" borderId="1" xfId="21" applyFont="1" applyFill="1" applyBorder="1" applyAlignment="1">
      <alignment horizontal="center" vertical="center"/>
      <protection/>
    </xf>
    <xf numFmtId="4" fontId="4" fillId="2" borderId="1" xfId="21" applyNumberFormat="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25" fillId="4" borderId="15" xfId="0" applyFont="1" applyFill="1" applyBorder="1" applyAlignment="1">
      <alignment horizontal="center" vertical="center" wrapText="1"/>
    </xf>
    <xf numFmtId="0" fontId="25" fillId="4" borderId="2" xfId="0" applyNumberFormat="1" applyFont="1" applyFill="1" applyBorder="1" applyAlignment="1">
      <alignment horizontal="left" vertical="center"/>
    </xf>
    <xf numFmtId="0" fontId="26" fillId="4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horizontal="center" vertical="center" wrapText="1"/>
    </xf>
    <xf numFmtId="164" fontId="25" fillId="4" borderId="9" xfId="20" applyFont="1" applyFill="1" applyBorder="1" applyAlignment="1">
      <alignment horizontal="right" vertical="center"/>
    </xf>
    <xf numFmtId="164" fontId="25" fillId="4" borderId="10" xfId="20" applyFont="1" applyFill="1" applyBorder="1" applyAlignment="1">
      <alignment horizontal="right" vertical="center"/>
    </xf>
    <xf numFmtId="164" fontId="25" fillId="4" borderId="16" xfId="2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right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164" fontId="27" fillId="0" borderId="1" xfId="20" applyFont="1" applyFill="1" applyBorder="1" applyAlignment="1">
      <alignment horizontal="right" vertical="center"/>
    </xf>
    <xf numFmtId="164" fontId="27" fillId="0" borderId="16" xfId="20" applyFont="1" applyFill="1" applyBorder="1" applyAlignment="1">
      <alignment horizontal="right" vertical="center"/>
    </xf>
    <xf numFmtId="0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>
      <alignment horizontal="left" vertical="center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2" xfId="0" applyFont="1" applyBorder="1" applyAlignment="1">
      <alignment vertical="center"/>
    </xf>
    <xf numFmtId="0" fontId="27" fillId="0" borderId="22" xfId="0" applyFont="1" applyBorder="1" applyAlignment="1">
      <alignment horizontal="center" vertical="center"/>
    </xf>
    <xf numFmtId="175" fontId="27" fillId="0" borderId="22" xfId="0" applyNumberFormat="1" applyFon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175" fontId="27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Alignment="1">
      <alignment vertical="center"/>
    </xf>
    <xf numFmtId="0" fontId="25" fillId="0" borderId="24" xfId="0" applyFont="1" applyFill="1" applyBorder="1" applyAlignment="1" applyProtection="1">
      <alignment vertical="top"/>
      <protection/>
    </xf>
    <xf numFmtId="0" fontId="27" fillId="0" borderId="24" xfId="0" applyFont="1" applyFill="1" applyBorder="1" applyAlignment="1" applyProtection="1">
      <alignment vertical="center"/>
      <protection/>
    </xf>
    <xf numFmtId="2" fontId="25" fillId="4" borderId="25" xfId="0" applyNumberFormat="1" applyFont="1" applyFill="1" applyBorder="1" applyAlignment="1">
      <alignment horizontal="center" vertical="center"/>
    </xf>
    <xf numFmtId="43" fontId="25" fillId="4" borderId="26" xfId="34" applyFont="1" applyFill="1" applyBorder="1" applyAlignment="1">
      <alignment horizontal="center" vertical="center"/>
    </xf>
    <xf numFmtId="2" fontId="25" fillId="4" borderId="27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 wrapText="1"/>
    </xf>
    <xf numFmtId="2" fontId="25" fillId="0" borderId="2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 wrapText="1"/>
    </xf>
    <xf numFmtId="175" fontId="25" fillId="0" borderId="1" xfId="0" applyNumberFormat="1" applyFont="1" applyFill="1" applyBorder="1" applyAlignment="1">
      <alignment horizontal="center" vertical="center"/>
    </xf>
    <xf numFmtId="43" fontId="25" fillId="0" borderId="16" xfId="34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left" vertical="center" wrapText="1"/>
    </xf>
    <xf numFmtId="2" fontId="27" fillId="0" borderId="1" xfId="0" applyNumberFormat="1" applyFont="1" applyFill="1" applyBorder="1" applyAlignment="1">
      <alignment horizontal="center" vertical="center"/>
    </xf>
    <xf numFmtId="164" fontId="27" fillId="0" borderId="1" xfId="34" applyNumberFormat="1" applyFont="1" applyFill="1" applyBorder="1" applyAlignment="1">
      <alignment horizontal="center" vertical="center"/>
    </xf>
    <xf numFmtId="43" fontId="27" fillId="0" borderId="1" xfId="34" applyFont="1" applyFill="1" applyBorder="1" applyAlignment="1">
      <alignment horizontal="right" vertical="center"/>
    </xf>
    <xf numFmtId="43" fontId="27" fillId="0" borderId="16" xfId="34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175" fontId="25" fillId="4" borderId="28" xfId="0" applyNumberFormat="1" applyFont="1" applyFill="1" applyBorder="1" applyAlignment="1">
      <alignment vertical="center"/>
    </xf>
    <xf numFmtId="2" fontId="25" fillId="4" borderId="28" xfId="0" applyNumberFormat="1" applyFont="1" applyFill="1" applyBorder="1" applyAlignment="1">
      <alignment horizontal="right" vertical="center"/>
    </xf>
    <xf numFmtId="43" fontId="25" fillId="4" borderId="29" xfId="34" applyFont="1" applyFill="1" applyBorder="1" applyAlignment="1">
      <alignment horizontal="center" vertical="center"/>
    </xf>
    <xf numFmtId="167" fontId="25" fillId="0" borderId="1" xfId="0" applyNumberFormat="1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177" fontId="27" fillId="0" borderId="1" xfId="34" applyNumberFormat="1" applyFont="1" applyFill="1" applyBorder="1" applyAlignment="1">
      <alignment horizontal="right" vertical="center"/>
    </xf>
    <xf numFmtId="43" fontId="27" fillId="0" borderId="16" xfId="34" applyFont="1" applyFill="1" applyBorder="1" applyAlignment="1">
      <alignment horizontal="right" vertical="center"/>
    </xf>
    <xf numFmtId="2" fontId="25" fillId="4" borderId="28" xfId="0" applyNumberFormat="1" applyFont="1" applyFill="1" applyBorder="1" applyAlignment="1">
      <alignment vertical="center"/>
    </xf>
    <xf numFmtId="43" fontId="25" fillId="4" borderId="29" xfId="34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175" fontId="27" fillId="0" borderId="0" xfId="0" applyNumberFormat="1" applyFont="1" applyAlignment="1">
      <alignment vertical="center"/>
    </xf>
    <xf numFmtId="2" fontId="25" fillId="0" borderId="15" xfId="0" applyNumberFormat="1" applyFont="1" applyFill="1" applyBorder="1" applyAlignment="1">
      <alignment horizontal="left" vertical="center"/>
    </xf>
    <xf numFmtId="2" fontId="27" fillId="0" borderId="9" xfId="0" applyNumberFormat="1" applyFont="1" applyFill="1" applyBorder="1" applyAlignment="1">
      <alignment horizontal="center" vertical="center" wrapText="1"/>
    </xf>
    <xf numFmtId="1" fontId="27" fillId="0" borderId="9" xfId="0" applyNumberFormat="1" applyFont="1" applyFill="1" applyBorder="1" applyAlignment="1">
      <alignment horizontal="center" vertical="center" wrapText="1"/>
    </xf>
    <xf numFmtId="2" fontId="27" fillId="0" borderId="9" xfId="0" applyNumberFormat="1" applyFont="1" applyFill="1" applyBorder="1" applyAlignment="1">
      <alignment horizontal="left" vertical="center" wrapText="1"/>
    </xf>
    <xf numFmtId="2" fontId="27" fillId="0" borderId="9" xfId="0" applyNumberFormat="1" applyFont="1" applyFill="1" applyBorder="1" applyAlignment="1">
      <alignment horizontal="center" vertical="center"/>
    </xf>
    <xf numFmtId="177" fontId="27" fillId="0" borderId="9" xfId="34" applyNumberFormat="1" applyFont="1" applyFill="1" applyBorder="1" applyAlignment="1">
      <alignment horizontal="right" vertical="center"/>
    </xf>
    <xf numFmtId="43" fontId="27" fillId="0" borderId="9" xfId="34" applyFont="1" applyFill="1" applyBorder="1" applyAlignment="1">
      <alignment horizontal="right" vertical="center"/>
    </xf>
    <xf numFmtId="43" fontId="27" fillId="0" borderId="30" xfId="34" applyFont="1" applyFill="1" applyBorder="1" applyAlignment="1">
      <alignment horizontal="right" vertical="center"/>
    </xf>
    <xf numFmtId="1" fontId="27" fillId="0" borderId="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 vertical="center"/>
    </xf>
    <xf numFmtId="2" fontId="25" fillId="0" borderId="0" xfId="0" applyNumberFormat="1" applyFont="1" applyFill="1" applyBorder="1" applyAlignment="1">
      <alignment horizontal="right" vertical="center"/>
    </xf>
    <xf numFmtId="43" fontId="25" fillId="0" borderId="0" xfId="34" applyFont="1" applyFill="1" applyBorder="1" applyAlignment="1">
      <alignment horizontal="right" vertical="center"/>
    </xf>
    <xf numFmtId="0" fontId="25" fillId="0" borderId="31" xfId="0" applyNumberFormat="1" applyFont="1" applyFill="1" applyBorder="1" applyAlignment="1">
      <alignment horizontal="center" vertical="center" wrapText="1"/>
    </xf>
    <xf numFmtId="0" fontId="25" fillId="0" borderId="32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6" xfId="0" applyFont="1" applyBorder="1" applyAlignment="1">
      <alignment vertical="center" wrapText="1"/>
    </xf>
    <xf numFmtId="0" fontId="27" fillId="0" borderId="6" xfId="0" applyFont="1" applyBorder="1" applyAlignment="1">
      <alignment horizontal="center" vertical="center" wrapText="1"/>
    </xf>
    <xf numFmtId="164" fontId="27" fillId="0" borderId="6" xfId="20" applyFont="1" applyBorder="1" applyAlignment="1">
      <alignment horizontal="right" vertical="center"/>
    </xf>
    <xf numFmtId="164" fontId="27" fillId="0" borderId="6" xfId="20" applyFont="1" applyFill="1" applyBorder="1" applyAlignment="1">
      <alignment horizontal="right" vertical="center"/>
    </xf>
    <xf numFmtId="0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7" xfId="0" applyFont="1" applyFill="1" applyBorder="1" applyAlignment="1">
      <alignment horizontal="center" vertical="center" wrapText="1"/>
    </xf>
    <xf numFmtId="0" fontId="28" fillId="2" borderId="1" xfId="24" applyFont="1" applyFill="1" applyBorder="1" applyAlignment="1">
      <alignment horizontal="center" vertical="center" wrapText="1"/>
      <protection/>
    </xf>
    <xf numFmtId="4" fontId="33" fillId="2" borderId="1" xfId="21" applyNumberFormat="1" applyFont="1" applyFill="1" applyBorder="1" applyAlignment="1">
      <alignment horizontal="right" vertical="center" wrapText="1"/>
      <protection/>
    </xf>
    <xf numFmtId="0" fontId="34" fillId="0" borderId="0" xfId="0" applyFont="1"/>
    <xf numFmtId="0" fontId="34" fillId="5" borderId="0" xfId="0" applyFont="1" applyFill="1" applyAlignment="1">
      <alignment vertical="center" wrapText="1"/>
    </xf>
    <xf numFmtId="0" fontId="34" fillId="5" borderId="0" xfId="0" applyFont="1" applyFill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/>
    <xf numFmtId="0" fontId="34" fillId="5" borderId="1" xfId="0" applyFont="1" applyFill="1" applyBorder="1" applyAlignment="1">
      <alignment vertical="center" wrapText="1"/>
    </xf>
    <xf numFmtId="0" fontId="34" fillId="5" borderId="1" xfId="0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6" xfId="21" applyFont="1" applyFill="1" applyBorder="1" applyAlignment="1">
      <alignment horizontal="center" vertical="center" wrapText="1"/>
      <protection/>
    </xf>
    <xf numFmtId="4" fontId="5" fillId="2" borderId="6" xfId="21" applyNumberFormat="1" applyFont="1" applyFill="1" applyBorder="1" applyAlignment="1">
      <alignment horizontal="right" vertical="center" wrapText="1"/>
      <protection/>
    </xf>
    <xf numFmtId="4" fontId="4" fillId="2" borderId="6" xfId="22" applyNumberFormat="1" applyFont="1" applyFill="1" applyBorder="1" applyAlignment="1" applyProtection="1">
      <alignment horizontal="right" vertical="center" wrapText="1"/>
      <protection/>
    </xf>
    <xf numFmtId="4" fontId="4" fillId="2" borderId="6" xfId="21" applyNumberFormat="1" applyFont="1" applyFill="1" applyBorder="1" applyAlignment="1">
      <alignment horizontal="right" vertical="center" wrapText="1"/>
      <protection/>
    </xf>
    <xf numFmtId="0" fontId="34" fillId="5" borderId="1" xfId="0" applyFont="1" applyFill="1" applyBorder="1" applyAlignment="1">
      <alignment horizontal="right" vertical="center" wrapText="1"/>
    </xf>
    <xf numFmtId="0" fontId="5" fillId="2" borderId="6" xfId="21" applyFont="1" applyFill="1" applyBorder="1" applyAlignment="1">
      <alignment horizontal="center" vertical="center" wrapText="1"/>
      <protection/>
    </xf>
    <xf numFmtId="0" fontId="34" fillId="5" borderId="6" xfId="0" applyFont="1" applyFill="1" applyBorder="1" applyAlignment="1">
      <alignment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right" vertical="center" wrapText="1"/>
    </xf>
    <xf numFmtId="0" fontId="5" fillId="2" borderId="6" xfId="21" applyFont="1" applyFill="1" applyBorder="1" applyAlignment="1">
      <alignment horizontal="center" vertical="center" wrapText="1"/>
      <protection/>
    </xf>
    <xf numFmtId="0" fontId="34" fillId="5" borderId="6" xfId="0" applyFont="1" applyFill="1" applyBorder="1" applyAlignment="1">
      <alignment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right" vertical="center" wrapText="1"/>
    </xf>
    <xf numFmtId="164" fontId="27" fillId="0" borderId="6" xfId="20" applyFont="1" applyFill="1" applyBorder="1" applyAlignment="1">
      <alignment horizontal="right" vertical="center"/>
    </xf>
    <xf numFmtId="4" fontId="5" fillId="2" borderId="6" xfId="21" applyNumberFormat="1" applyFont="1" applyFill="1" applyBorder="1" applyAlignment="1">
      <alignment horizontal="right" vertical="center" wrapText="1"/>
      <protection/>
    </xf>
    <xf numFmtId="0" fontId="34" fillId="5" borderId="0" xfId="0" applyFont="1" applyFill="1" applyAlignment="1">
      <alignment horizontal="left" vertical="center" wrapText="1"/>
    </xf>
    <xf numFmtId="0" fontId="34" fillId="5" borderId="2" xfId="0" applyFont="1" applyFill="1" applyBorder="1" applyAlignment="1">
      <alignment horizontal="left" vertical="center" wrapText="1"/>
    </xf>
    <xf numFmtId="164" fontId="7" fillId="2" borderId="8" xfId="20" applyFont="1" applyFill="1" applyBorder="1" applyAlignment="1" applyProtection="1">
      <alignment horizontal="center" vertical="center"/>
      <protection/>
    </xf>
    <xf numFmtId="0" fontId="35" fillId="2" borderId="17" xfId="0" applyFont="1" applyFill="1" applyBorder="1" applyAlignment="1">
      <alignment vertical="center"/>
    </xf>
    <xf numFmtId="4" fontId="35" fillId="2" borderId="2" xfId="0" applyNumberFormat="1" applyFont="1" applyFill="1" applyBorder="1" applyAlignment="1">
      <alignment horizontal="center" vertical="center"/>
    </xf>
    <xf numFmtId="179" fontId="3" fillId="2" borderId="30" xfId="21" applyNumberFormat="1" applyFont="1" applyFill="1" applyBorder="1" applyAlignment="1">
      <alignment horizontal="center" vertical="center"/>
      <protection/>
    </xf>
    <xf numFmtId="165" fontId="7" fillId="2" borderId="15" xfId="0" applyNumberFormat="1" applyFont="1" applyFill="1" applyBorder="1" applyAlignment="1">
      <alignment vertical="center"/>
    </xf>
    <xf numFmtId="165" fontId="7" fillId="2" borderId="9" xfId="0" applyNumberFormat="1" applyFont="1" applyFill="1" applyBorder="1" applyAlignment="1">
      <alignment vertical="center"/>
    </xf>
    <xf numFmtId="165" fontId="7" fillId="2" borderId="30" xfId="0" applyNumberFormat="1" applyFont="1" applyFill="1" applyBorder="1" applyAlignment="1">
      <alignment vertical="center"/>
    </xf>
    <xf numFmtId="0" fontId="36" fillId="6" borderId="13" xfId="0" applyFont="1" applyFill="1" applyBorder="1" applyAlignment="1">
      <alignment horizontal="center"/>
    </xf>
    <xf numFmtId="0" fontId="36" fillId="6" borderId="33" xfId="0" applyFont="1" applyFill="1" applyBorder="1" applyAlignment="1">
      <alignment horizontal="center"/>
    </xf>
    <xf numFmtId="0" fontId="36" fillId="7" borderId="34" xfId="0" applyFont="1" applyFill="1" applyBorder="1" applyAlignment="1">
      <alignment horizontal="center" vertical="center"/>
    </xf>
    <xf numFmtId="0" fontId="3" fillId="8" borderId="13" xfId="21" applyFont="1" applyFill="1" applyBorder="1" applyAlignment="1">
      <alignment vertical="center"/>
      <protection/>
    </xf>
    <xf numFmtId="4" fontId="3" fillId="9" borderId="13" xfId="0" applyNumberFormat="1" applyFont="1" applyFill="1" applyBorder="1" applyAlignment="1">
      <alignment horizontal="center" vertical="center"/>
    </xf>
    <xf numFmtId="10" fontId="3" fillId="9" borderId="13" xfId="26" applyNumberFormat="1" applyFont="1" applyFill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8" borderId="13" xfId="21" applyFont="1" applyFill="1" applyBorder="1" applyAlignment="1" applyProtection="1">
      <alignment horizontal="left" vertical="center"/>
      <protection locked="0"/>
    </xf>
    <xf numFmtId="49" fontId="3" fillId="0" borderId="3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center" vertical="center"/>
    </xf>
    <xf numFmtId="0" fontId="3" fillId="8" borderId="36" xfId="21" applyFont="1" applyFill="1" applyBorder="1" applyAlignment="1">
      <alignment vertical="center"/>
      <protection/>
    </xf>
    <xf numFmtId="4" fontId="3" fillId="9" borderId="36" xfId="0" applyNumberFormat="1" applyFont="1" applyFill="1" applyBorder="1" applyAlignment="1">
      <alignment horizontal="center" vertical="center"/>
    </xf>
    <xf numFmtId="10" fontId="3" fillId="9" borderId="36" xfId="26" applyNumberFormat="1" applyFont="1" applyFill="1" applyBorder="1" applyAlignment="1">
      <alignment horizontal="center" vertical="center"/>
    </xf>
    <xf numFmtId="10" fontId="0" fillId="0" borderId="36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center" vertical="center"/>
    </xf>
    <xf numFmtId="10" fontId="3" fillId="9" borderId="28" xfId="26" applyNumberFormat="1" applyFont="1" applyFill="1" applyBorder="1" applyAlignment="1">
      <alignment horizontal="center" vertical="center"/>
    </xf>
    <xf numFmtId="10" fontId="0" fillId="0" borderId="38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center" vertical="center"/>
    </xf>
    <xf numFmtId="10" fontId="0" fillId="0" borderId="39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 horizontal="center" vertical="center"/>
    </xf>
    <xf numFmtId="10" fontId="0" fillId="0" borderId="40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6" fillId="7" borderId="8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/>
    </xf>
    <xf numFmtId="0" fontId="36" fillId="7" borderId="33" xfId="0" applyFont="1" applyFill="1" applyBorder="1" applyAlignment="1">
      <alignment horizontal="center"/>
    </xf>
    <xf numFmtId="164" fontId="3" fillId="9" borderId="1" xfId="20" applyFont="1" applyFill="1" applyBorder="1" applyAlignment="1">
      <alignment horizontal="left"/>
    </xf>
    <xf numFmtId="10" fontId="35" fillId="9" borderId="1" xfId="0" applyNumberFormat="1" applyFont="1" applyFill="1" applyBorder="1"/>
    <xf numFmtId="49" fontId="37" fillId="0" borderId="0" xfId="0" applyNumberFormat="1" applyFont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vertical="center"/>
    </xf>
    <xf numFmtId="10" fontId="31" fillId="0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49" fontId="37" fillId="0" borderId="1" xfId="0" applyNumberFormat="1" applyFont="1" applyFill="1" applyBorder="1" applyAlignment="1">
      <alignment horizontal="right" vertical="center"/>
    </xf>
    <xf numFmtId="49" fontId="37" fillId="0" borderId="1" xfId="0" applyNumberFormat="1" applyFont="1" applyFill="1" applyBorder="1" applyAlignment="1">
      <alignment vertical="center"/>
    </xf>
    <xf numFmtId="10" fontId="37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right" vertical="center"/>
    </xf>
    <xf numFmtId="10" fontId="31" fillId="0" borderId="1" xfId="35" applyNumberFormat="1" applyFont="1" applyFill="1" applyBorder="1" applyAlignment="1">
      <alignment horizontal="center" vertical="center"/>
    </xf>
    <xf numFmtId="49" fontId="25" fillId="0" borderId="0" xfId="0" applyNumberFormat="1" applyFont="1" applyFill="1" applyAlignment="1">
      <alignment vertical="center"/>
    </xf>
    <xf numFmtId="10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vertical="center"/>
    </xf>
    <xf numFmtId="10" fontId="27" fillId="0" borderId="0" xfId="35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49" fontId="37" fillId="0" borderId="0" xfId="0" applyNumberFormat="1" applyFont="1" applyFill="1" applyAlignment="1">
      <alignment vertical="center"/>
    </xf>
    <xf numFmtId="10" fontId="37" fillId="0" borderId="0" xfId="0" applyNumberFormat="1" applyFont="1" applyFill="1" applyAlignment="1">
      <alignment vertical="center"/>
    </xf>
    <xf numFmtId="0" fontId="31" fillId="0" borderId="0" xfId="0" applyNumberFormat="1" applyFont="1" applyAlignment="1">
      <alignment horizontal="left" vertical="top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10" fontId="27" fillId="0" borderId="1" xfId="35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0" fontId="25" fillId="0" borderId="1" xfId="35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vertical="center" wrapText="1"/>
    </xf>
    <xf numFmtId="49" fontId="25" fillId="0" borderId="1" xfId="0" applyNumberFormat="1" applyFont="1" applyBorder="1" applyAlignment="1">
      <alignment vertical="center" wrapText="1"/>
    </xf>
    <xf numFmtId="49" fontId="31" fillId="0" borderId="1" xfId="0" applyNumberFormat="1" applyFont="1" applyBorder="1" applyAlignment="1">
      <alignment horizontal="center" vertical="center"/>
    </xf>
    <xf numFmtId="49" fontId="31" fillId="0" borderId="1" xfId="0" applyNumberFormat="1" applyFont="1" applyBorder="1" applyAlignment="1">
      <alignment vertical="center" wrapText="1"/>
    </xf>
    <xf numFmtId="10" fontId="31" fillId="0" borderId="1" xfId="35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10" fontId="37" fillId="0" borderId="0" xfId="0" applyNumberFormat="1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164" fontId="39" fillId="0" borderId="42" xfId="20" applyFont="1" applyBorder="1" applyAlignment="1">
      <alignment horizontal="left" vertical="top"/>
    </xf>
    <xf numFmtId="164" fontId="39" fillId="0" borderId="42" xfId="20" applyFont="1" applyBorder="1" applyAlignment="1">
      <alignment horizontal="right" vertical="top"/>
    </xf>
    <xf numFmtId="164" fontId="38" fillId="0" borderId="42" xfId="20" applyFont="1" applyBorder="1" applyAlignment="1">
      <alignment horizontal="left" vertical="top"/>
    </xf>
    <xf numFmtId="164" fontId="39" fillId="0" borderId="42" xfId="20" applyFont="1" applyBorder="1" applyAlignment="1">
      <alignment horizontal="center" vertical="top"/>
    </xf>
    <xf numFmtId="164" fontId="39" fillId="0" borderId="42" xfId="20" applyFont="1" applyBorder="1" applyAlignment="1">
      <alignment horizontal="left" vertical="top" wrapText="1"/>
    </xf>
    <xf numFmtId="164" fontId="28" fillId="0" borderId="5" xfId="20" applyFont="1" applyFill="1" applyBorder="1" applyAlignment="1" applyProtection="1">
      <alignment horizontal="center" vertical="center" wrapText="1"/>
      <protection hidden="1"/>
    </xf>
    <xf numFmtId="164" fontId="28" fillId="0" borderId="1" xfId="20" applyFont="1" applyFill="1" applyBorder="1" applyAlignment="1" applyProtection="1">
      <alignment horizontal="center" vertical="center" wrapText="1"/>
      <protection hidden="1"/>
    </xf>
    <xf numFmtId="164" fontId="27" fillId="0" borderId="1" xfId="20" applyFont="1" applyFill="1" applyBorder="1" applyAlignment="1">
      <alignment horizontal="center" vertical="center" wrapText="1"/>
    </xf>
    <xf numFmtId="164" fontId="34" fillId="0" borderId="0" xfId="20" applyFont="1"/>
    <xf numFmtId="0" fontId="36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4" fontId="2" fillId="0" borderId="36" xfId="0" applyNumberFormat="1" applyFont="1" applyFill="1" applyBorder="1" applyAlignment="1">
      <alignment horizontal="left" vertical="center"/>
    </xf>
    <xf numFmtId="0" fontId="36" fillId="0" borderId="45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left" vertical="center"/>
    </xf>
    <xf numFmtId="179" fontId="3" fillId="0" borderId="47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36" fillId="0" borderId="13" xfId="0" applyFont="1" applyFill="1" applyBorder="1" applyAlignment="1">
      <alignment horizontal="center" vertical="center"/>
    </xf>
    <xf numFmtId="4" fontId="36" fillId="0" borderId="13" xfId="0" applyNumberFormat="1" applyFont="1" applyFill="1" applyBorder="1" applyAlignment="1">
      <alignment horizontal="center" vertical="center"/>
    </xf>
    <xf numFmtId="165" fontId="36" fillId="0" borderId="13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justify" vertical="top" wrapText="1"/>
    </xf>
    <xf numFmtId="166" fontId="36" fillId="0" borderId="13" xfId="31" applyFont="1" applyFill="1" applyBorder="1" applyAlignment="1" applyProtection="1">
      <alignment horizontal="center" wrapText="1"/>
      <protection/>
    </xf>
    <xf numFmtId="4" fontId="36" fillId="0" borderId="13" xfId="0" applyNumberFormat="1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 applyProtection="1">
      <alignment horizontal="justify" vertical="top" wrapText="1"/>
      <protection/>
    </xf>
    <xf numFmtId="4" fontId="42" fillId="0" borderId="13" xfId="0" applyNumberFormat="1" applyFont="1" applyFill="1" applyBorder="1" applyAlignment="1">
      <alignment horizontal="right" vertical="center"/>
    </xf>
    <xf numFmtId="4" fontId="42" fillId="0" borderId="13" xfId="0" applyNumberFormat="1" applyFont="1" applyFill="1" applyBorder="1" applyAlignment="1">
      <alignment horizontal="center" vertical="center"/>
    </xf>
    <xf numFmtId="166" fontId="42" fillId="0" borderId="13" xfId="31" applyFont="1" applyFill="1" applyBorder="1" applyAlignment="1" applyProtection="1">
      <alignment vertical="center"/>
      <protection/>
    </xf>
    <xf numFmtId="4" fontId="42" fillId="0" borderId="13" xfId="31" applyNumberFormat="1" applyFont="1" applyFill="1" applyBorder="1" applyAlignment="1" applyProtection="1">
      <alignment horizontal="right" vertical="center" wrapText="1"/>
      <protection/>
    </xf>
    <xf numFmtId="0" fontId="42" fillId="0" borderId="13" xfId="0" applyFont="1" applyFill="1" applyBorder="1" applyAlignment="1">
      <alignment horizontal="justify" vertical="top" wrapText="1"/>
    </xf>
    <xf numFmtId="0" fontId="42" fillId="0" borderId="13" xfId="0" applyFont="1" applyFill="1" applyBorder="1" applyAlignment="1">
      <alignment horizontal="center" vertical="center"/>
    </xf>
    <xf numFmtId="4" fontId="42" fillId="0" borderId="13" xfId="30" applyNumberFormat="1" applyFont="1" applyFill="1" applyBorder="1" applyAlignment="1" applyProtection="1">
      <alignment vertical="center"/>
      <protection/>
    </xf>
    <xf numFmtId="39" fontId="36" fillId="0" borderId="13" xfId="31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/>
    <xf numFmtId="0" fontId="36" fillId="0" borderId="1" xfId="24" applyFont="1" applyFill="1" applyBorder="1" applyAlignment="1">
      <alignment horizontal="center" vertical="center" wrapText="1"/>
      <protection/>
    </xf>
    <xf numFmtId="0" fontId="43" fillId="0" borderId="1" xfId="23" applyFont="1" applyFill="1" applyBorder="1" applyAlignment="1">
      <alignment horizontal="center" vertical="center"/>
      <protection/>
    </xf>
    <xf numFmtId="0" fontId="42" fillId="0" borderId="1" xfId="23" applyFont="1" applyFill="1" applyBorder="1" applyAlignment="1">
      <alignment horizontal="center" vertical="center" wrapText="1"/>
      <protection/>
    </xf>
    <xf numFmtId="170" fontId="42" fillId="0" borderId="1" xfId="23" applyNumberFormat="1" applyFont="1" applyFill="1" applyBorder="1" applyAlignment="1">
      <alignment horizontal="center" vertical="center" wrapText="1"/>
      <protection/>
    </xf>
    <xf numFmtId="4" fontId="42" fillId="0" borderId="1" xfId="23" applyNumberFormat="1" applyFont="1" applyFill="1" applyBorder="1" applyAlignment="1">
      <alignment horizontal="center" vertical="center" wrapText="1"/>
      <protection/>
    </xf>
    <xf numFmtId="0" fontId="42" fillId="0" borderId="1" xfId="24" applyFont="1" applyFill="1" applyBorder="1" applyAlignment="1">
      <alignment horizontal="center" vertical="center" wrapText="1"/>
      <protection/>
    </xf>
    <xf numFmtId="0" fontId="42" fillId="0" borderId="1" xfId="24" applyFont="1" applyFill="1" applyBorder="1" applyAlignment="1">
      <alignment horizontal="left" vertical="center" wrapText="1"/>
      <protection/>
    </xf>
    <xf numFmtId="0" fontId="42" fillId="0" borderId="1" xfId="24" applyFont="1" applyFill="1" applyBorder="1" applyAlignment="1">
      <alignment horizontal="center" vertical="center"/>
      <protection/>
    </xf>
    <xf numFmtId="167" fontId="42" fillId="0" borderId="1" xfId="24" applyNumberFormat="1" applyFont="1" applyFill="1" applyBorder="1" applyAlignment="1">
      <alignment horizontal="center" vertical="center"/>
      <protection/>
    </xf>
    <xf numFmtId="4" fontId="42" fillId="0" borderId="1" xfId="24" applyNumberFormat="1" applyFont="1" applyFill="1" applyBorder="1" applyAlignment="1">
      <alignment horizontal="center" vertical="center"/>
      <protection/>
    </xf>
    <xf numFmtId="0" fontId="42" fillId="0" borderId="1" xfId="27" applyFont="1" applyFill="1" applyBorder="1" applyAlignment="1">
      <alignment horizontal="center" vertical="center"/>
      <protection/>
    </xf>
    <xf numFmtId="4" fontId="42" fillId="0" borderId="1" xfId="27" applyNumberFormat="1" applyFont="1" applyFill="1" applyBorder="1" applyAlignment="1">
      <alignment horizontal="center" vertical="center"/>
      <protection/>
    </xf>
    <xf numFmtId="167" fontId="42" fillId="0" borderId="1" xfId="26" applyNumberFormat="1" applyFont="1" applyFill="1" applyBorder="1" applyAlignment="1" applyProtection="1">
      <alignment horizontal="center" vertical="center"/>
      <protection/>
    </xf>
    <xf numFmtId="0" fontId="36" fillId="0" borderId="1" xfId="24" applyFont="1" applyFill="1" applyBorder="1" applyAlignment="1">
      <alignment horizontal="center" vertical="center"/>
      <protection/>
    </xf>
    <xf numFmtId="168" fontId="36" fillId="0" borderId="1" xfId="24" applyNumberFormat="1" applyFont="1" applyFill="1" applyBorder="1" applyAlignment="1">
      <alignment horizontal="center" vertical="center"/>
      <protection/>
    </xf>
    <xf numFmtId="4" fontId="36" fillId="0" borderId="1" xfId="24" applyNumberFormat="1" applyFont="1" applyFill="1" applyBorder="1" applyAlignment="1">
      <alignment horizontal="center" vertical="center"/>
      <protection/>
    </xf>
    <xf numFmtId="0" fontId="36" fillId="0" borderId="0" xfId="24" applyFont="1" applyFill="1" applyBorder="1" applyAlignment="1">
      <alignment horizontal="left" vertical="center"/>
      <protection/>
    </xf>
    <xf numFmtId="0" fontId="36" fillId="0" borderId="0" xfId="24" applyFont="1" applyFill="1" applyBorder="1" applyAlignment="1">
      <alignment horizontal="center" vertical="center"/>
      <protection/>
    </xf>
    <xf numFmtId="168" fontId="36" fillId="0" borderId="0" xfId="24" applyNumberFormat="1" applyFont="1" applyFill="1" applyBorder="1" applyAlignment="1">
      <alignment horizontal="center" vertical="center"/>
      <protection/>
    </xf>
    <xf numFmtId="4" fontId="36" fillId="0" borderId="0" xfId="24" applyNumberFormat="1" applyFont="1" applyFill="1" applyBorder="1" applyAlignment="1">
      <alignment horizontal="center" vertical="center"/>
      <protection/>
    </xf>
    <xf numFmtId="0" fontId="42" fillId="0" borderId="2" xfId="23" applyFont="1" applyFill="1" applyBorder="1" applyAlignment="1">
      <alignment horizontal="center" vertical="center" wrapText="1"/>
      <protection/>
    </xf>
    <xf numFmtId="0" fontId="42" fillId="0" borderId="2" xfId="24" applyFont="1" applyFill="1" applyBorder="1" applyAlignment="1">
      <alignment horizontal="center" vertical="center" wrapText="1"/>
      <protection/>
    </xf>
    <xf numFmtId="0" fontId="42" fillId="0" borderId="2" xfId="24" applyFont="1" applyFill="1" applyBorder="1" applyAlignment="1">
      <alignment horizontal="left" vertical="center" wrapText="1"/>
      <protection/>
    </xf>
    <xf numFmtId="168" fontId="42" fillId="0" borderId="1" xfId="24" applyNumberFormat="1" applyFont="1" applyFill="1" applyBorder="1" applyAlignment="1">
      <alignment horizontal="center" vertical="center"/>
      <protection/>
    </xf>
    <xf numFmtId="0" fontId="42" fillId="0" borderId="2" xfId="24" applyFont="1" applyFill="1" applyBorder="1" applyAlignment="1">
      <alignment horizontal="center" vertical="center"/>
      <protection/>
    </xf>
    <xf numFmtId="0" fontId="42" fillId="0" borderId="3" xfId="24" applyFont="1" applyFill="1" applyBorder="1" applyAlignment="1">
      <alignment horizontal="left" vertical="center" wrapText="1"/>
      <protection/>
    </xf>
    <xf numFmtId="168" fontId="42" fillId="0" borderId="1" xfId="27" applyNumberFormat="1" applyFont="1" applyFill="1" applyBorder="1" applyAlignment="1">
      <alignment horizontal="center" vertical="center"/>
      <protection/>
    </xf>
    <xf numFmtId="168" fontId="42" fillId="0" borderId="1" xfId="26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/>
    <xf numFmtId="1" fontId="43" fillId="0" borderId="3" xfId="23" applyNumberFormat="1" applyFont="1" applyFill="1" applyBorder="1" applyAlignment="1">
      <alignment horizontal="center" vertical="center"/>
      <protection/>
    </xf>
    <xf numFmtId="2" fontId="42" fillId="0" borderId="1" xfId="0" applyNumberFormat="1" applyFont="1" applyFill="1" applyBorder="1" applyAlignment="1">
      <alignment vertical="center" wrapText="1"/>
    </xf>
    <xf numFmtId="0" fontId="42" fillId="0" borderId="2" xfId="24" applyFont="1" applyFill="1" applyBorder="1" applyAlignment="1">
      <alignment horizontal="left" vertical="center"/>
      <protection/>
    </xf>
    <xf numFmtId="164" fontId="0" fillId="0" borderId="0" xfId="0" applyNumberFormat="1"/>
    <xf numFmtId="0" fontId="25" fillId="4" borderId="5" xfId="0" applyNumberFormat="1" applyFont="1" applyFill="1" applyBorder="1" applyAlignment="1">
      <alignment horizontal="left" vertical="center"/>
    </xf>
    <xf numFmtId="0" fontId="25" fillId="2" borderId="15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left" vertical="center"/>
    </xf>
    <xf numFmtId="0" fontId="26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 wrapText="1"/>
    </xf>
    <xf numFmtId="164" fontId="25" fillId="2" borderId="9" xfId="20" applyFont="1" applyFill="1" applyBorder="1" applyAlignment="1">
      <alignment horizontal="right" vertical="center"/>
    </xf>
    <xf numFmtId="164" fontId="25" fillId="2" borderId="16" xfId="20" applyFont="1" applyFill="1" applyBorder="1" applyAlignment="1">
      <alignment horizontal="right" vertical="center"/>
    </xf>
    <xf numFmtId="0" fontId="25" fillId="2" borderId="5" xfId="0" applyNumberFormat="1" applyFont="1" applyFill="1" applyBorder="1" applyAlignment="1">
      <alignment horizontal="left" vertical="center"/>
    </xf>
    <xf numFmtId="0" fontId="25" fillId="2" borderId="25" xfId="0" applyNumberFormat="1" applyFont="1" applyFill="1" applyBorder="1" applyAlignment="1">
      <alignment horizontal="center" vertical="center" wrapText="1"/>
    </xf>
    <xf numFmtId="0" fontId="25" fillId="2" borderId="26" xfId="0" applyNumberFormat="1" applyFont="1" applyFill="1" applyBorder="1" applyAlignment="1">
      <alignment horizontal="center" vertical="center" wrapText="1"/>
    </xf>
    <xf numFmtId="0" fontId="24" fillId="2" borderId="1" xfId="33" applyFont="1" applyFill="1" applyBorder="1" applyAlignment="1">
      <alignment horizontal="center" vertical="center" wrapText="1"/>
      <protection/>
    </xf>
    <xf numFmtId="0" fontId="24" fillId="2" borderId="1" xfId="33" applyFont="1" applyFill="1" applyBorder="1" applyAlignment="1">
      <alignment horizontal="left" vertical="center" wrapText="1"/>
      <protection/>
    </xf>
    <xf numFmtId="0" fontId="34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vertical="center" wrapText="1"/>
    </xf>
    <xf numFmtId="0" fontId="44" fillId="2" borderId="1" xfId="33" applyFont="1" applyFill="1" applyBorder="1" applyAlignment="1">
      <alignment horizontal="center" vertical="center" wrapText="1"/>
      <protection/>
    </xf>
    <xf numFmtId="43" fontId="0" fillId="0" borderId="0" xfId="0" applyNumberFormat="1"/>
    <xf numFmtId="164" fontId="28" fillId="0" borderId="48" xfId="20" applyFont="1" applyFill="1" applyBorder="1" applyAlignment="1" applyProtection="1">
      <alignment horizontal="center" vertical="center" wrapText="1"/>
      <protection hidden="1"/>
    </xf>
    <xf numFmtId="164" fontId="28" fillId="0" borderId="3" xfId="20" applyFont="1" applyFill="1" applyBorder="1" applyAlignment="1" applyProtection="1">
      <alignment horizontal="center" vertical="center" wrapText="1"/>
      <protection hidden="1"/>
    </xf>
    <xf numFmtId="164" fontId="27" fillId="0" borderId="3" xfId="20" applyFont="1" applyFill="1" applyBorder="1" applyAlignment="1">
      <alignment vertical="center" wrapText="1"/>
    </xf>
    <xf numFmtId="164" fontId="27" fillId="0" borderId="3" xfId="20" applyFont="1" applyFill="1" applyBorder="1" applyAlignment="1">
      <alignment horizontal="center" vertical="center" wrapText="1"/>
    </xf>
    <xf numFmtId="164" fontId="27" fillId="0" borderId="3" xfId="20" applyFont="1" applyFill="1" applyBorder="1" applyAlignment="1">
      <alignment horizontal="right" vertical="center"/>
    </xf>
    <xf numFmtId="164" fontId="39" fillId="0" borderId="49" xfId="20" applyFont="1" applyBorder="1" applyAlignment="1">
      <alignment horizontal="left" vertical="top"/>
    </xf>
    <xf numFmtId="164" fontId="0" fillId="0" borderId="1" xfId="20" applyFont="1" applyBorder="1"/>
    <xf numFmtId="0" fontId="45" fillId="5" borderId="6" xfId="0" applyFont="1" applyFill="1" applyBorder="1" applyAlignment="1">
      <alignment vertical="center" wrapText="1"/>
    </xf>
    <xf numFmtId="166" fontId="23" fillId="2" borderId="1" xfId="31" applyFont="1" applyFill="1" applyBorder="1" applyAlignment="1" applyProtection="1">
      <alignment vertical="center" wrapText="1"/>
      <protection/>
    </xf>
    <xf numFmtId="164" fontId="5" fillId="2" borderId="1" xfId="20" applyFont="1" applyFill="1" applyBorder="1" applyAlignment="1" applyProtection="1">
      <alignment horizontal="right" vertical="center" wrapText="1"/>
      <protection/>
    </xf>
    <xf numFmtId="164" fontId="34" fillId="5" borderId="6" xfId="20" applyFont="1" applyFill="1" applyBorder="1" applyAlignment="1">
      <alignment horizontal="right" vertical="center" wrapText="1"/>
    </xf>
    <xf numFmtId="164" fontId="34" fillId="5" borderId="6" xfId="20" applyFont="1" applyFill="1" applyBorder="1" applyAlignment="1">
      <alignment horizontal="right" vertical="center" wrapText="1"/>
    </xf>
    <xf numFmtId="0" fontId="46" fillId="2" borderId="1" xfId="23" applyFont="1" applyFill="1" applyBorder="1" applyAlignment="1">
      <alignment horizontal="center" vertical="center" wrapText="1"/>
      <protection/>
    </xf>
    <xf numFmtId="164" fontId="6" fillId="2" borderId="6" xfId="20" applyFont="1" applyFill="1" applyBorder="1" applyAlignment="1">
      <alignment horizontal="center" vertical="center"/>
    </xf>
    <xf numFmtId="164" fontId="6" fillId="2" borderId="1" xfId="20" applyFont="1" applyFill="1" applyBorder="1" applyAlignment="1" applyProtection="1">
      <alignment horizontal="center" vertical="center"/>
      <protection/>
    </xf>
    <xf numFmtId="0" fontId="47" fillId="2" borderId="1" xfId="24" applyFont="1" applyFill="1" applyBorder="1" applyAlignment="1">
      <alignment horizontal="center" vertical="center" wrapText="1"/>
      <protection/>
    </xf>
    <xf numFmtId="0" fontId="48" fillId="2" borderId="1" xfId="24" applyFont="1" applyFill="1" applyBorder="1" applyAlignment="1">
      <alignment horizontal="center" vertical="center" wrapText="1"/>
      <protection/>
    </xf>
    <xf numFmtId="164" fontId="26" fillId="4" borderId="9" xfId="20" applyFont="1" applyFill="1" applyBorder="1" applyAlignment="1">
      <alignment horizontal="center" vertical="center" wrapText="1"/>
    </xf>
    <xf numFmtId="4" fontId="3" fillId="9" borderId="28" xfId="0" applyNumberFormat="1" applyFont="1" applyFill="1" applyBorder="1" applyAlignment="1">
      <alignment vertical="center"/>
    </xf>
    <xf numFmtId="0" fontId="31" fillId="0" borderId="50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/>
    </xf>
    <xf numFmtId="0" fontId="36" fillId="6" borderId="53" xfId="0" applyFont="1" applyFill="1" applyBorder="1" applyAlignment="1">
      <alignment horizontal="center"/>
    </xf>
    <xf numFmtId="0" fontId="3" fillId="8" borderId="17" xfId="21" applyFont="1" applyFill="1" applyBorder="1" applyAlignment="1">
      <alignment horizontal="left"/>
      <protection/>
    </xf>
    <xf numFmtId="0" fontId="3" fillId="8" borderId="1" xfId="21" applyFont="1" applyFill="1" applyBorder="1" applyAlignment="1">
      <alignment horizontal="left"/>
      <protection/>
    </xf>
    <xf numFmtId="0" fontId="3" fillId="8" borderId="54" xfId="21" applyFont="1" applyFill="1" applyBorder="1">
      <alignment/>
      <protection/>
    </xf>
    <xf numFmtId="0" fontId="3" fillId="8" borderId="55" xfId="21" applyFont="1" applyFill="1" applyBorder="1">
      <alignment/>
      <protection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/>
    </xf>
    <xf numFmtId="0" fontId="36" fillId="6" borderId="56" xfId="0" applyFont="1" applyFill="1" applyBorder="1" applyAlignment="1">
      <alignment horizontal="center" vertical="center"/>
    </xf>
    <xf numFmtId="0" fontId="36" fillId="6" borderId="34" xfId="0" applyFont="1" applyFill="1" applyBorder="1" applyAlignment="1">
      <alignment horizontal="center" vertical="center"/>
    </xf>
    <xf numFmtId="0" fontId="36" fillId="6" borderId="8" xfId="0" applyFont="1" applyFill="1" applyBorder="1" applyAlignment="1">
      <alignment horizontal="center" vertical="center"/>
    </xf>
    <xf numFmtId="0" fontId="36" fillId="6" borderId="13" xfId="0" applyFont="1" applyFill="1" applyBorder="1" applyAlignment="1">
      <alignment horizontal="center" vertical="center"/>
    </xf>
    <xf numFmtId="0" fontId="36" fillId="6" borderId="47" xfId="0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horizontal="center" vertical="center"/>
    </xf>
    <xf numFmtId="0" fontId="37" fillId="0" borderId="0" xfId="0" applyNumberFormat="1" applyFont="1" applyAlignment="1">
      <alignment horizontal="center" vertical="center"/>
    </xf>
    <xf numFmtId="178" fontId="27" fillId="0" borderId="0" xfId="0" applyNumberFormat="1" applyFont="1" applyAlignment="1">
      <alignment horizontal="left" vertical="center"/>
    </xf>
    <xf numFmtId="0" fontId="37" fillId="0" borderId="0" xfId="0" applyNumberFormat="1" applyFont="1" applyAlignment="1">
      <alignment horizontal="left" vertical="top" wrapText="1"/>
    </xf>
    <xf numFmtId="49" fontId="31" fillId="0" borderId="2" xfId="0" applyNumberFormat="1" applyFont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left" vertical="center" wrapText="1"/>
    </xf>
    <xf numFmtId="49" fontId="27" fillId="0" borderId="0" xfId="0" applyNumberFormat="1" applyFont="1" applyFill="1" applyAlignment="1">
      <alignment horizontal="left" vertical="center"/>
    </xf>
    <xf numFmtId="49" fontId="31" fillId="4" borderId="2" xfId="0" applyNumberFormat="1" applyFont="1" applyFill="1" applyBorder="1" applyAlignment="1">
      <alignment horizontal="center" vertical="center"/>
    </xf>
    <xf numFmtId="49" fontId="31" fillId="4" borderId="9" xfId="0" applyNumberFormat="1" applyFont="1" applyFill="1" applyBorder="1" applyAlignment="1">
      <alignment horizontal="center" vertical="center"/>
    </xf>
    <xf numFmtId="49" fontId="31" fillId="4" borderId="10" xfId="0" applyNumberFormat="1" applyFont="1" applyFill="1" applyBorder="1" applyAlignment="1">
      <alignment horizontal="center" vertical="center"/>
    </xf>
    <xf numFmtId="0" fontId="42" fillId="0" borderId="13" xfId="24" applyFont="1" applyFill="1" applyBorder="1" applyAlignment="1">
      <alignment horizontal="left" vertical="center"/>
      <protection/>
    </xf>
    <xf numFmtId="0" fontId="36" fillId="0" borderId="1" xfId="24" applyFont="1" applyFill="1" applyBorder="1" applyAlignment="1">
      <alignment horizontal="left" vertical="center"/>
      <protection/>
    </xf>
    <xf numFmtId="0" fontId="36" fillId="0" borderId="2" xfId="24" applyFont="1" applyFill="1" applyBorder="1" applyAlignment="1">
      <alignment horizontal="center" vertical="center" wrapText="1"/>
      <protection/>
    </xf>
    <xf numFmtId="0" fontId="36" fillId="0" borderId="9" xfId="24" applyFont="1" applyFill="1" applyBorder="1" applyAlignment="1">
      <alignment horizontal="center" vertical="center" wrapText="1"/>
      <protection/>
    </xf>
    <xf numFmtId="0" fontId="36" fillId="0" borderId="10" xfId="24" applyFont="1" applyFill="1" applyBorder="1" applyAlignment="1">
      <alignment horizontal="center" vertical="center" wrapText="1"/>
      <protection/>
    </xf>
    <xf numFmtId="0" fontId="42" fillId="0" borderId="2" xfId="24" applyFont="1" applyFill="1" applyBorder="1" applyAlignment="1">
      <alignment horizontal="center" vertical="center" wrapText="1"/>
      <protection/>
    </xf>
    <xf numFmtId="0" fontId="42" fillId="0" borderId="9" xfId="24" applyFont="1" applyFill="1" applyBorder="1" applyAlignment="1">
      <alignment horizontal="center" vertical="center" wrapText="1"/>
      <protection/>
    </xf>
    <xf numFmtId="0" fontId="42" fillId="0" borderId="10" xfId="24" applyFont="1" applyFill="1" applyBorder="1" applyAlignment="1">
      <alignment horizontal="center" vertical="center" wrapText="1"/>
      <protection/>
    </xf>
    <xf numFmtId="0" fontId="43" fillId="0" borderId="2" xfId="24" applyFont="1" applyFill="1" applyBorder="1" applyAlignment="1">
      <alignment horizontal="center" vertical="center"/>
      <protection/>
    </xf>
    <xf numFmtId="0" fontId="43" fillId="0" borderId="9" xfId="24" applyFont="1" applyFill="1" applyBorder="1" applyAlignment="1">
      <alignment horizontal="center" vertical="center"/>
      <protection/>
    </xf>
    <xf numFmtId="0" fontId="43" fillId="0" borderId="10" xfId="24" applyFont="1" applyFill="1" applyBorder="1" applyAlignment="1">
      <alignment horizontal="center" vertical="center"/>
      <protection/>
    </xf>
    <xf numFmtId="165" fontId="36" fillId="0" borderId="5" xfId="0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0" fontId="36" fillId="0" borderId="11" xfId="21" applyFont="1" applyFill="1" applyBorder="1" applyAlignment="1">
      <alignment horizontal="center" vertical="center" wrapText="1"/>
      <protection/>
    </xf>
    <xf numFmtId="0" fontId="36" fillId="0" borderId="14" xfId="21" applyFont="1" applyFill="1" applyBorder="1" applyAlignment="1">
      <alignment horizontal="center" vertical="center" wrapText="1"/>
      <protection/>
    </xf>
    <xf numFmtId="0" fontId="36" fillId="0" borderId="1" xfId="24" applyFont="1" applyFill="1" applyBorder="1" applyAlignment="1">
      <alignment horizontal="center" vertical="center" wrapText="1"/>
      <protection/>
    </xf>
    <xf numFmtId="0" fontId="42" fillId="0" borderId="1" xfId="24" applyFont="1" applyFill="1" applyBorder="1" applyAlignment="1">
      <alignment horizontal="center" vertical="center" wrapText="1"/>
      <protection/>
    </xf>
    <xf numFmtId="0" fontId="43" fillId="0" borderId="1" xfId="24" applyFont="1" applyFill="1" applyBorder="1" applyAlignment="1">
      <alignment horizontal="center" vertical="center"/>
      <protection/>
    </xf>
    <xf numFmtId="0" fontId="42" fillId="0" borderId="1" xfId="24" applyFont="1" applyFill="1" applyBorder="1" applyAlignment="1">
      <alignment horizontal="left" vertical="center"/>
      <protection/>
    </xf>
    <xf numFmtId="0" fontId="13" fillId="2" borderId="1" xfId="24" applyFont="1" applyFill="1" applyBorder="1" applyAlignment="1">
      <alignment horizontal="center" vertical="center"/>
      <protection/>
    </xf>
    <xf numFmtId="0" fontId="14" fillId="2" borderId="1" xfId="24" applyFont="1" applyFill="1" applyBorder="1" applyAlignment="1">
      <alignment horizontal="left" vertical="center"/>
      <protection/>
    </xf>
    <xf numFmtId="0" fontId="12" fillId="0" borderId="1" xfId="24" applyFont="1" applyFill="1" applyBorder="1" applyAlignment="1">
      <alignment horizontal="left" vertical="center"/>
      <protection/>
    </xf>
    <xf numFmtId="2" fontId="14" fillId="2" borderId="1" xfId="0" applyNumberFormat="1" applyFont="1" applyFill="1" applyBorder="1" applyAlignment="1">
      <alignment vertical="center" wrapText="1"/>
    </xf>
    <xf numFmtId="0" fontId="14" fillId="2" borderId="1" xfId="24" applyFont="1" applyFill="1" applyBorder="1" applyAlignment="1">
      <alignment horizontal="center" vertical="center" wrapText="1"/>
      <protection/>
    </xf>
    <xf numFmtId="0" fontId="14" fillId="2" borderId="1" xfId="24" applyFont="1" applyFill="1" applyBorder="1" applyAlignment="1">
      <alignment horizontal="left" vertical="center" wrapText="1"/>
      <protection/>
    </xf>
    <xf numFmtId="0" fontId="12" fillId="2" borderId="1" xfId="24" applyFont="1" applyFill="1" applyBorder="1" applyAlignment="1">
      <alignment horizontal="center" vertical="center" wrapText="1"/>
      <protection/>
    </xf>
    <xf numFmtId="0" fontId="14" fillId="2" borderId="1" xfId="23" applyFont="1" applyFill="1" applyBorder="1" applyAlignment="1">
      <alignment horizontal="center" vertical="center" wrapText="1"/>
      <protection/>
    </xf>
    <xf numFmtId="0" fontId="12" fillId="2" borderId="1" xfId="24" applyFont="1" applyFill="1" applyBorder="1" applyAlignment="1">
      <alignment horizontal="left" vertical="center"/>
      <protection/>
    </xf>
    <xf numFmtId="0" fontId="20" fillId="3" borderId="1" xfId="28" applyNumberFormat="1" applyFont="1" applyFill="1" applyBorder="1" applyAlignment="1">
      <alignment horizontal="center" vertical="center"/>
      <protection/>
    </xf>
    <xf numFmtId="0" fontId="14" fillId="3" borderId="1" xfId="28" applyNumberFormat="1" applyFont="1" applyFill="1" applyBorder="1" applyAlignment="1">
      <alignment horizontal="left" vertical="center"/>
      <protection/>
    </xf>
    <xf numFmtId="0" fontId="12" fillId="3" borderId="1" xfId="28" applyNumberFormat="1" applyFont="1" applyFill="1" applyBorder="1" applyAlignment="1">
      <alignment horizontal="left" vertical="center"/>
      <protection/>
    </xf>
    <xf numFmtId="0" fontId="12" fillId="3" borderId="1" xfId="28" applyNumberFormat="1" applyFont="1" applyFill="1" applyBorder="1" applyAlignment="1">
      <alignment horizontal="center" vertical="center" wrapText="1"/>
      <protection/>
    </xf>
    <xf numFmtId="0" fontId="14" fillId="3" borderId="1" xfId="28" applyNumberFormat="1" applyFont="1" applyFill="1" applyBorder="1" applyAlignment="1">
      <alignment horizontal="center" vertical="center" wrapText="1"/>
      <protection/>
    </xf>
    <xf numFmtId="0" fontId="14" fillId="3" borderId="1" xfId="28" applyNumberFormat="1" applyFont="1" applyFill="1" applyBorder="1" applyAlignment="1">
      <alignment horizontal="center" vertical="center"/>
      <protection/>
    </xf>
    <xf numFmtId="0" fontId="6" fillId="2" borderId="2" xfId="24" applyFont="1" applyFill="1" applyBorder="1" applyAlignment="1">
      <alignment horizontal="center" vertical="center" wrapText="1"/>
      <protection/>
    </xf>
    <xf numFmtId="0" fontId="6" fillId="2" borderId="9" xfId="24" applyFont="1" applyFill="1" applyBorder="1" applyAlignment="1">
      <alignment horizontal="center" vertical="center" wrapText="1"/>
      <protection/>
    </xf>
    <xf numFmtId="0" fontId="6" fillId="2" borderId="10" xfId="24" applyFont="1" applyFill="1" applyBorder="1" applyAlignment="1">
      <alignment horizontal="center" vertical="center" wrapText="1"/>
      <protection/>
    </xf>
    <xf numFmtId="0" fontId="6" fillId="2" borderId="2" xfId="24" applyFont="1" applyFill="1" applyBorder="1" applyAlignment="1">
      <alignment horizontal="center" vertical="center"/>
      <protection/>
    </xf>
    <xf numFmtId="0" fontId="6" fillId="2" borderId="9" xfId="24" applyFont="1" applyFill="1" applyBorder="1" applyAlignment="1">
      <alignment horizontal="center" vertical="center"/>
      <protection/>
    </xf>
    <xf numFmtId="0" fontId="6" fillId="2" borderId="10" xfId="24" applyFont="1" applyFill="1" applyBorder="1" applyAlignment="1">
      <alignment horizontal="center" vertical="center"/>
      <protection/>
    </xf>
    <xf numFmtId="0" fontId="6" fillId="2" borderId="2" xfId="24" applyFont="1" applyFill="1" applyBorder="1" applyAlignment="1">
      <alignment horizontal="left" vertical="center"/>
      <protection/>
    </xf>
    <xf numFmtId="0" fontId="6" fillId="2" borderId="9" xfId="24" applyFont="1" applyFill="1" applyBorder="1" applyAlignment="1">
      <alignment horizontal="left" vertical="center"/>
      <protection/>
    </xf>
    <xf numFmtId="0" fontId="7" fillId="2" borderId="1" xfId="24" applyFont="1" applyFill="1" applyBorder="1" applyAlignment="1">
      <alignment horizontal="left" vertical="center"/>
      <protection/>
    </xf>
    <xf numFmtId="0" fontId="7" fillId="2" borderId="2" xfId="24" applyFont="1" applyFill="1" applyBorder="1" applyAlignment="1">
      <alignment horizontal="center" vertical="center" wrapText="1"/>
      <protection/>
    </xf>
    <xf numFmtId="0" fontId="7" fillId="2" borderId="9" xfId="24" applyFont="1" applyFill="1" applyBorder="1" applyAlignment="1">
      <alignment horizontal="center" vertical="center" wrapText="1"/>
      <protection/>
    </xf>
    <xf numFmtId="0" fontId="7" fillId="2" borderId="10" xfId="24" applyFont="1" applyFill="1" applyBorder="1" applyAlignment="1">
      <alignment horizontal="center" vertical="center" wrapText="1"/>
      <protection/>
    </xf>
    <xf numFmtId="0" fontId="10" fillId="2" borderId="2" xfId="24" applyFont="1" applyFill="1" applyBorder="1" applyAlignment="1">
      <alignment horizontal="center" vertical="center"/>
      <protection/>
    </xf>
    <xf numFmtId="0" fontId="10" fillId="2" borderId="9" xfId="24" applyFont="1" applyFill="1" applyBorder="1" applyAlignment="1">
      <alignment horizontal="center" vertical="center"/>
      <protection/>
    </xf>
    <xf numFmtId="0" fontId="10" fillId="2" borderId="10" xfId="24" applyFont="1" applyFill="1" applyBorder="1" applyAlignment="1">
      <alignment horizontal="center" vertical="center"/>
      <protection/>
    </xf>
    <xf numFmtId="0" fontId="6" fillId="2" borderId="10" xfId="24" applyFont="1" applyFill="1" applyBorder="1" applyAlignment="1">
      <alignment horizontal="left" vertical="center"/>
      <protection/>
    </xf>
    <xf numFmtId="0" fontId="7" fillId="2" borderId="2" xfId="24" applyFont="1" applyFill="1" applyBorder="1" applyAlignment="1">
      <alignment horizontal="left" vertical="center"/>
      <protection/>
    </xf>
    <xf numFmtId="0" fontId="7" fillId="2" borderId="10" xfId="24" applyFont="1" applyFill="1" applyBorder="1" applyAlignment="1">
      <alignment horizontal="left" vertical="center"/>
      <protection/>
    </xf>
    <xf numFmtId="0" fontId="6" fillId="2" borderId="1" xfId="24" applyFont="1" applyFill="1" applyBorder="1" applyAlignment="1">
      <alignment horizontal="center" vertical="center" wrapText="1"/>
      <protection/>
    </xf>
    <xf numFmtId="0" fontId="10" fillId="2" borderId="1" xfId="24" applyFont="1" applyFill="1" applyBorder="1" applyAlignment="1">
      <alignment horizontal="center" vertical="center"/>
      <protection/>
    </xf>
    <xf numFmtId="0" fontId="6" fillId="2" borderId="1" xfId="24" applyFont="1" applyFill="1" applyBorder="1" applyAlignment="1">
      <alignment horizontal="left" vertical="center"/>
      <protection/>
    </xf>
    <xf numFmtId="0" fontId="7" fillId="2" borderId="1" xfId="24" applyFont="1" applyFill="1" applyBorder="1" applyAlignment="1">
      <alignment horizontal="center" vertical="center" wrapText="1"/>
      <protection/>
    </xf>
    <xf numFmtId="0" fontId="18" fillId="2" borderId="1" xfId="24" applyFont="1" applyFill="1" applyBorder="1" applyAlignment="1">
      <alignment horizontal="center" vertical="center" wrapText="1"/>
      <protection/>
    </xf>
    <xf numFmtId="0" fontId="6" fillId="2" borderId="1" xfId="24" applyFont="1" applyFill="1" applyBorder="1" applyAlignment="1">
      <alignment horizontal="center" vertical="center"/>
      <protection/>
    </xf>
    <xf numFmtId="0" fontId="14" fillId="2" borderId="2" xfId="24" applyFont="1" applyFill="1" applyBorder="1" applyAlignment="1">
      <alignment horizontal="center" vertical="center" wrapText="1"/>
      <protection/>
    </xf>
    <xf numFmtId="0" fontId="14" fillId="2" borderId="12" xfId="24" applyFont="1" applyFill="1" applyBorder="1" applyAlignment="1">
      <alignment horizontal="center" vertical="center" wrapText="1"/>
      <protection/>
    </xf>
    <xf numFmtId="0" fontId="14" fillId="2" borderId="9" xfId="24" applyFont="1" applyFill="1" applyBorder="1" applyAlignment="1">
      <alignment horizontal="center" vertical="center" wrapText="1"/>
      <protection/>
    </xf>
    <xf numFmtId="0" fontId="14" fillId="2" borderId="10" xfId="24" applyFont="1" applyFill="1" applyBorder="1" applyAlignment="1">
      <alignment horizontal="center" vertical="center" wrapText="1"/>
      <protection/>
    </xf>
    <xf numFmtId="0" fontId="14" fillId="2" borderId="5" xfId="24" applyFont="1" applyFill="1" applyBorder="1" applyAlignment="1">
      <alignment horizontal="center" vertical="center" wrapText="1"/>
      <protection/>
    </xf>
    <xf numFmtId="0" fontId="14" fillId="2" borderId="11" xfId="24" applyFont="1" applyFill="1" applyBorder="1" applyAlignment="1">
      <alignment horizontal="center" vertical="center" wrapText="1"/>
      <protection/>
    </xf>
    <xf numFmtId="0" fontId="14" fillId="2" borderId="14" xfId="24" applyFont="1" applyFill="1" applyBorder="1" applyAlignment="1">
      <alignment horizontal="center" vertical="center" wrapText="1"/>
      <protection/>
    </xf>
    <xf numFmtId="0" fontId="13" fillId="2" borderId="2" xfId="24" applyFont="1" applyFill="1" applyBorder="1" applyAlignment="1">
      <alignment horizontal="center" vertical="center"/>
      <protection/>
    </xf>
    <xf numFmtId="0" fontId="13" fillId="2" borderId="9" xfId="24" applyFont="1" applyFill="1" applyBorder="1" applyAlignment="1">
      <alignment horizontal="center" vertical="center"/>
      <protection/>
    </xf>
    <xf numFmtId="0" fontId="13" fillId="2" borderId="10" xfId="24" applyFont="1" applyFill="1" applyBorder="1" applyAlignment="1">
      <alignment horizontal="center" vertical="center"/>
      <protection/>
    </xf>
    <xf numFmtId="0" fontId="14" fillId="2" borderId="2" xfId="24" applyFont="1" applyFill="1" applyBorder="1" applyAlignment="1">
      <alignment horizontal="left" vertical="center"/>
      <protection/>
    </xf>
    <xf numFmtId="0" fontId="14" fillId="2" borderId="9" xfId="24" applyFont="1" applyFill="1" applyBorder="1" applyAlignment="1">
      <alignment horizontal="left" vertical="center"/>
      <protection/>
    </xf>
    <xf numFmtId="0" fontId="12" fillId="2" borderId="2" xfId="24" applyFont="1" applyFill="1" applyBorder="1" applyAlignment="1">
      <alignment horizontal="center" vertical="center" wrapText="1"/>
      <protection/>
    </xf>
    <xf numFmtId="0" fontId="12" fillId="2" borderId="9" xfId="24" applyFont="1" applyFill="1" applyBorder="1" applyAlignment="1">
      <alignment horizontal="center" vertical="center" wrapText="1"/>
      <protection/>
    </xf>
    <xf numFmtId="0" fontId="12" fillId="2" borderId="10" xfId="24" applyFont="1" applyFill="1" applyBorder="1" applyAlignment="1">
      <alignment horizontal="center" vertical="center" wrapText="1"/>
      <protection/>
    </xf>
    <xf numFmtId="0" fontId="14" fillId="2" borderId="2" xfId="24" applyFont="1" applyFill="1" applyBorder="1" applyAlignment="1">
      <alignment horizontal="center" vertical="center"/>
      <protection/>
    </xf>
    <xf numFmtId="0" fontId="14" fillId="2" borderId="9" xfId="24" applyFont="1" applyFill="1" applyBorder="1" applyAlignment="1">
      <alignment horizontal="center" vertical="center"/>
      <protection/>
    </xf>
    <xf numFmtId="0" fontId="14" fillId="2" borderId="10" xfId="24" applyFont="1" applyFill="1" applyBorder="1" applyAlignment="1">
      <alignment horizontal="center" vertical="center"/>
      <protection/>
    </xf>
    <xf numFmtId="0" fontId="18" fillId="2" borderId="2" xfId="24" applyFont="1" applyFill="1" applyBorder="1" applyAlignment="1">
      <alignment horizontal="center" vertical="center" wrapText="1"/>
      <protection/>
    </xf>
    <xf numFmtId="0" fontId="18" fillId="2" borderId="9" xfId="24" applyFont="1" applyFill="1" applyBorder="1" applyAlignment="1">
      <alignment horizontal="center" vertical="center" wrapText="1"/>
      <protection/>
    </xf>
    <xf numFmtId="0" fontId="18" fillId="2" borderId="10" xfId="24" applyFont="1" applyFill="1" applyBorder="1" applyAlignment="1">
      <alignment horizontal="center" vertical="center" wrapText="1"/>
      <protection/>
    </xf>
    <xf numFmtId="0" fontId="18" fillId="2" borderId="2" xfId="24" applyFont="1" applyFill="1" applyBorder="1" applyAlignment="1">
      <alignment horizontal="center" vertical="center"/>
      <protection/>
    </xf>
    <xf numFmtId="0" fontId="18" fillId="2" borderId="9" xfId="24" applyFont="1" applyFill="1" applyBorder="1" applyAlignment="1">
      <alignment horizontal="center" vertical="center"/>
      <protection/>
    </xf>
    <xf numFmtId="0" fontId="18" fillId="2" borderId="10" xfId="24" applyFont="1" applyFill="1" applyBorder="1" applyAlignment="1">
      <alignment horizontal="center" vertical="center"/>
      <protection/>
    </xf>
    <xf numFmtId="0" fontId="18" fillId="2" borderId="2" xfId="24" applyFont="1" applyFill="1" applyBorder="1" applyAlignment="1">
      <alignment horizontal="left" vertical="center"/>
      <protection/>
    </xf>
    <xf numFmtId="0" fontId="18" fillId="2" borderId="9" xfId="24" applyFont="1" applyFill="1" applyBorder="1" applyAlignment="1">
      <alignment horizontal="left" vertical="center"/>
      <protection/>
    </xf>
    <xf numFmtId="0" fontId="17" fillId="2" borderId="1" xfId="24" applyFont="1" applyFill="1" applyBorder="1" applyAlignment="1">
      <alignment horizontal="left" vertical="center"/>
      <protection/>
    </xf>
    <xf numFmtId="0" fontId="17" fillId="2" borderId="2" xfId="24" applyFont="1" applyFill="1" applyBorder="1" applyAlignment="1">
      <alignment horizontal="center" vertical="center" wrapText="1"/>
      <protection/>
    </xf>
    <xf numFmtId="0" fontId="17" fillId="2" borderId="9" xfId="24" applyFont="1" applyFill="1" applyBorder="1" applyAlignment="1">
      <alignment horizontal="center" vertical="center" wrapText="1"/>
      <protection/>
    </xf>
    <xf numFmtId="0" fontId="17" fillId="2" borderId="10" xfId="24" applyFont="1" applyFill="1" applyBorder="1" applyAlignment="1">
      <alignment horizontal="center" vertical="center" wrapText="1"/>
      <protection/>
    </xf>
    <xf numFmtId="0" fontId="6" fillId="2" borderId="2" xfId="23" applyFont="1" applyFill="1" applyBorder="1" applyAlignment="1">
      <alignment horizontal="center" vertical="center"/>
      <protection/>
    </xf>
    <xf numFmtId="0" fontId="6" fillId="2" borderId="9" xfId="23" applyFont="1" applyFill="1" applyBorder="1" applyAlignment="1">
      <alignment horizontal="center" vertical="center"/>
      <protection/>
    </xf>
    <xf numFmtId="0" fontId="6" fillId="2" borderId="10" xfId="23" applyFont="1" applyFill="1" applyBorder="1" applyAlignment="1">
      <alignment horizontal="center" vertical="center"/>
      <protection/>
    </xf>
    <xf numFmtId="0" fontId="6" fillId="2" borderId="4" xfId="24" applyFont="1" applyFill="1" applyBorder="1" applyAlignment="1">
      <alignment horizontal="center" vertical="center" wrapText="1"/>
      <protection/>
    </xf>
    <xf numFmtId="0" fontId="6" fillId="2" borderId="12" xfId="24" applyFont="1" applyFill="1" applyBorder="1" applyAlignment="1">
      <alignment horizontal="center" vertical="center" wrapText="1"/>
      <protection/>
    </xf>
    <xf numFmtId="0" fontId="6" fillId="2" borderId="57" xfId="24" applyFont="1" applyFill="1" applyBorder="1" applyAlignment="1">
      <alignment horizontal="center" vertical="center" wrapText="1"/>
      <protection/>
    </xf>
    <xf numFmtId="0" fontId="6" fillId="2" borderId="5" xfId="24" applyFont="1" applyFill="1" applyBorder="1" applyAlignment="1">
      <alignment horizontal="center" vertical="center" wrapText="1"/>
      <protection/>
    </xf>
    <xf numFmtId="0" fontId="6" fillId="2" borderId="11" xfId="24" applyFont="1" applyFill="1" applyBorder="1" applyAlignment="1">
      <alignment horizontal="center" vertical="center" wrapText="1"/>
      <protection/>
    </xf>
    <xf numFmtId="0" fontId="6" fillId="2" borderId="14" xfId="24" applyFont="1" applyFill="1" applyBorder="1" applyAlignment="1">
      <alignment horizontal="center" vertical="center" wrapText="1"/>
      <protection/>
    </xf>
    <xf numFmtId="0" fontId="6" fillId="2" borderId="2" xfId="27" applyFont="1" applyFill="1" applyBorder="1" applyAlignment="1">
      <alignment horizontal="left" vertical="center"/>
      <protection/>
    </xf>
    <xf numFmtId="0" fontId="6" fillId="2" borderId="10" xfId="27" applyFont="1" applyFill="1" applyBorder="1" applyAlignment="1">
      <alignment horizontal="left" vertical="center"/>
      <protection/>
    </xf>
    <xf numFmtId="0" fontId="6" fillId="2" borderId="3" xfId="24" applyFont="1" applyFill="1" applyBorder="1" applyAlignment="1">
      <alignment horizontal="center" vertical="center" wrapText="1"/>
      <protection/>
    </xf>
    <xf numFmtId="0" fontId="6" fillId="2" borderId="2" xfId="27" applyFont="1" applyFill="1" applyBorder="1" applyAlignment="1">
      <alignment horizontal="center" vertical="center" wrapText="1"/>
      <protection/>
    </xf>
    <xf numFmtId="0" fontId="6" fillId="2" borderId="9" xfId="27" applyFont="1" applyFill="1" applyBorder="1" applyAlignment="1">
      <alignment horizontal="center" vertical="center" wrapText="1"/>
      <protection/>
    </xf>
    <xf numFmtId="0" fontId="6" fillId="2" borderId="10" xfId="27" applyFont="1" applyFill="1" applyBorder="1" applyAlignment="1">
      <alignment horizontal="center" vertical="center" wrapText="1"/>
      <protection/>
    </xf>
    <xf numFmtId="0" fontId="6" fillId="2" borderId="1" xfId="27" applyFont="1" applyFill="1" applyBorder="1" applyAlignment="1">
      <alignment horizontal="center" vertical="center" wrapText="1"/>
      <protection/>
    </xf>
    <xf numFmtId="0" fontId="10" fillId="2" borderId="1" xfId="27" applyFont="1" applyFill="1" applyBorder="1" applyAlignment="1">
      <alignment horizontal="center" vertical="center"/>
      <protection/>
    </xf>
    <xf numFmtId="0" fontId="7" fillId="2" borderId="1" xfId="27" applyFont="1" applyFill="1" applyBorder="1" applyAlignment="1">
      <alignment horizontal="left" vertical="center"/>
      <protection/>
    </xf>
    <xf numFmtId="0" fontId="7" fillId="2" borderId="2" xfId="27" applyFont="1" applyFill="1" applyBorder="1" applyAlignment="1">
      <alignment horizontal="center" vertical="center" wrapText="1"/>
      <protection/>
    </xf>
    <xf numFmtId="0" fontId="7" fillId="2" borderId="9" xfId="27" applyFont="1" applyFill="1" applyBorder="1" applyAlignment="1">
      <alignment horizontal="center" vertical="center" wrapText="1"/>
      <protection/>
    </xf>
    <xf numFmtId="0" fontId="7" fillId="2" borderId="10" xfId="27" applyFont="1" applyFill="1" applyBorder="1" applyAlignment="1">
      <alignment horizontal="center" vertical="center" wrapText="1"/>
      <protection/>
    </xf>
    <xf numFmtId="0" fontId="14" fillId="2" borderId="1" xfId="24" applyFont="1" applyFill="1" applyBorder="1" applyAlignment="1">
      <alignment horizontal="center" vertical="center"/>
      <protection/>
    </xf>
    <xf numFmtId="0" fontId="15" fillId="2" borderId="2" xfId="24" applyFont="1" applyFill="1" applyBorder="1" applyAlignment="1">
      <alignment horizontal="center" vertical="center" wrapText="1"/>
      <protection/>
    </xf>
    <xf numFmtId="0" fontId="15" fillId="2" borderId="9" xfId="24" applyFont="1" applyFill="1" applyBorder="1" applyAlignment="1">
      <alignment horizontal="center" vertical="center" wrapText="1"/>
      <protection/>
    </xf>
    <xf numFmtId="0" fontId="15" fillId="2" borderId="10" xfId="24" applyFont="1" applyFill="1" applyBorder="1" applyAlignment="1">
      <alignment horizontal="center" vertical="center" wrapText="1"/>
      <protection/>
    </xf>
    <xf numFmtId="0" fontId="13" fillId="2" borderId="2" xfId="23" applyFont="1" applyFill="1" applyBorder="1" applyAlignment="1">
      <alignment horizontal="center" vertical="center"/>
      <protection/>
    </xf>
    <xf numFmtId="0" fontId="13" fillId="2" borderId="9" xfId="23" applyFont="1" applyFill="1" applyBorder="1" applyAlignment="1">
      <alignment horizontal="center" vertical="center"/>
      <protection/>
    </xf>
    <xf numFmtId="0" fontId="13" fillId="2" borderId="10" xfId="23" applyFont="1" applyFill="1" applyBorder="1" applyAlignment="1">
      <alignment horizontal="center" vertical="center"/>
      <protection/>
    </xf>
    <xf numFmtId="0" fontId="13" fillId="2" borderId="4" xfId="24" applyFont="1" applyFill="1" applyBorder="1" applyAlignment="1">
      <alignment horizontal="center" vertical="center"/>
      <protection/>
    </xf>
    <xf numFmtId="0" fontId="13" fillId="2" borderId="12" xfId="24" applyFont="1" applyFill="1" applyBorder="1" applyAlignment="1">
      <alignment horizontal="center" vertical="center"/>
      <protection/>
    </xf>
    <xf numFmtId="0" fontId="13" fillId="2" borderId="57" xfId="24" applyFont="1" applyFill="1" applyBorder="1" applyAlignment="1">
      <alignment horizontal="center" vertical="center"/>
      <protection/>
    </xf>
    <xf numFmtId="0" fontId="14" fillId="2" borderId="3" xfId="24" applyFont="1" applyFill="1" applyBorder="1" applyAlignment="1">
      <alignment horizontal="center" vertical="center" wrapText="1"/>
      <protection/>
    </xf>
    <xf numFmtId="0" fontId="14" fillId="2" borderId="0" xfId="24" applyFont="1" applyFill="1" applyBorder="1" applyAlignment="1">
      <alignment horizontal="center" vertical="center" wrapText="1"/>
      <protection/>
    </xf>
    <xf numFmtId="0" fontId="13" fillId="2" borderId="11" xfId="24" applyFont="1" applyFill="1" applyBorder="1" applyAlignment="1">
      <alignment horizontal="center" vertical="center"/>
      <protection/>
    </xf>
    <xf numFmtId="0" fontId="12" fillId="2" borderId="2" xfId="24" applyFont="1" applyFill="1" applyBorder="1" applyAlignment="1">
      <alignment horizontal="left" vertical="center"/>
      <protection/>
    </xf>
    <xf numFmtId="0" fontId="12" fillId="2" borderId="10" xfId="24" applyFont="1" applyFill="1" applyBorder="1" applyAlignment="1">
      <alignment horizontal="left" vertical="center"/>
      <protection/>
    </xf>
    <xf numFmtId="0" fontId="14" fillId="2" borderId="10" xfId="24" applyFont="1" applyFill="1" applyBorder="1" applyAlignment="1">
      <alignment horizontal="left" vertical="center"/>
      <protection/>
    </xf>
    <xf numFmtId="0" fontId="6" fillId="2" borderId="11" xfId="24" applyFont="1" applyFill="1" applyBorder="1" applyAlignment="1">
      <alignment horizontal="center" vertical="center"/>
      <protection/>
    </xf>
    <xf numFmtId="0" fontId="7" fillId="2" borderId="58" xfId="24" applyFont="1" applyFill="1" applyBorder="1" applyAlignment="1">
      <alignment horizontal="left" vertical="center"/>
      <protection/>
    </xf>
    <xf numFmtId="0" fontId="7" fillId="2" borderId="59" xfId="24" applyFont="1" applyFill="1" applyBorder="1" applyAlignment="1">
      <alignment horizontal="left" vertical="center"/>
      <protection/>
    </xf>
    <xf numFmtId="0" fontId="7" fillId="2" borderId="9" xfId="21" applyFont="1" applyFill="1" applyBorder="1" applyAlignment="1">
      <alignment horizontal="center" vertical="center"/>
      <protection/>
    </xf>
    <xf numFmtId="0" fontId="7" fillId="2" borderId="10" xfId="21" applyFont="1" applyFill="1" applyBorder="1" applyAlignment="1">
      <alignment horizontal="center" vertical="center"/>
      <protection/>
    </xf>
    <xf numFmtId="0" fontId="3" fillId="2" borderId="5" xfId="21" applyFont="1" applyFill="1" applyBorder="1" applyAlignment="1">
      <alignment horizontal="center" vertical="center" wrapText="1"/>
      <protection/>
    </xf>
    <xf numFmtId="0" fontId="3" fillId="2" borderId="11" xfId="21" applyFont="1" applyFill="1" applyBorder="1" applyAlignment="1">
      <alignment horizontal="center" vertical="center" wrapText="1"/>
      <protection/>
    </xf>
    <xf numFmtId="0" fontId="3" fillId="2" borderId="14" xfId="21" applyFont="1" applyFill="1" applyBorder="1" applyAlignment="1">
      <alignment horizontal="center" vertical="center" wrapText="1"/>
      <protection/>
    </xf>
    <xf numFmtId="0" fontId="22" fillId="2" borderId="1" xfId="21" applyFont="1" applyFill="1" applyBorder="1" applyAlignment="1">
      <alignment horizontal="center" vertical="center"/>
      <protection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22" fillId="2" borderId="1" xfId="21" applyNumberFormat="1" applyFont="1" applyFill="1" applyBorder="1" applyAlignment="1">
      <alignment horizontal="center" vertical="center" wrapText="1"/>
      <protection/>
    </xf>
    <xf numFmtId="0" fontId="22" fillId="2" borderId="1" xfId="21" applyFont="1" applyFill="1" applyBorder="1" applyAlignment="1">
      <alignment horizontal="center" vertical="center" wrapText="1"/>
      <protection/>
    </xf>
    <xf numFmtId="0" fontId="25" fillId="4" borderId="4" xfId="0" applyNumberFormat="1" applyFont="1" applyFill="1" applyBorder="1" applyAlignment="1">
      <alignment horizontal="center" vertical="center"/>
    </xf>
    <xf numFmtId="0" fontId="25" fillId="4" borderId="12" xfId="0" applyNumberFormat="1" applyFont="1" applyFill="1" applyBorder="1" applyAlignment="1">
      <alignment horizontal="center" vertical="center"/>
    </xf>
    <xf numFmtId="0" fontId="25" fillId="4" borderId="60" xfId="0" applyNumberFormat="1" applyFont="1" applyFill="1" applyBorder="1" applyAlignment="1">
      <alignment horizontal="center" vertical="center"/>
    </xf>
    <xf numFmtId="0" fontId="25" fillId="4" borderId="61" xfId="0" applyNumberFormat="1" applyFont="1" applyFill="1" applyBorder="1" applyAlignment="1">
      <alignment horizontal="center" vertical="center"/>
    </xf>
    <xf numFmtId="2" fontId="25" fillId="4" borderId="2" xfId="0" applyNumberFormat="1" applyFont="1" applyFill="1" applyBorder="1" applyAlignment="1">
      <alignment horizontal="left" vertical="center" wrapText="1"/>
    </xf>
    <xf numFmtId="2" fontId="25" fillId="4" borderId="9" xfId="0" applyNumberFormat="1" applyFont="1" applyFill="1" applyBorder="1" applyAlignment="1">
      <alignment horizontal="left" vertical="center" wrapText="1"/>
    </xf>
    <xf numFmtId="2" fontId="25" fillId="4" borderId="30" xfId="0" applyNumberFormat="1" applyFont="1" applyFill="1" applyBorder="1" applyAlignment="1">
      <alignment horizontal="left" vertical="center" wrapText="1"/>
    </xf>
    <xf numFmtId="2" fontId="25" fillId="0" borderId="62" xfId="0" applyNumberFormat="1" applyFont="1" applyFill="1" applyBorder="1" applyAlignment="1">
      <alignment horizontal="left" vertical="center"/>
    </xf>
    <xf numFmtId="2" fontId="25" fillId="0" borderId="22" xfId="0" applyNumberFormat="1" applyFont="1" applyFill="1" applyBorder="1" applyAlignment="1">
      <alignment horizontal="left" vertical="center"/>
    </xf>
    <xf numFmtId="2" fontId="25" fillId="0" borderId="63" xfId="0" applyNumberFormat="1" applyFont="1" applyFill="1" applyBorder="1" applyAlignment="1">
      <alignment horizontal="left" vertical="center"/>
    </xf>
    <xf numFmtId="178" fontId="27" fillId="0" borderId="0" xfId="0" applyNumberFormat="1" applyFont="1" applyBorder="1" applyAlignment="1">
      <alignment horizontal="left" vertical="center"/>
    </xf>
    <xf numFmtId="176" fontId="32" fillId="4" borderId="18" xfId="0" applyNumberFormat="1" applyFont="1" applyFill="1" applyBorder="1" applyAlignment="1">
      <alignment horizontal="center" vertical="center"/>
    </xf>
    <xf numFmtId="176" fontId="32" fillId="4" borderId="19" xfId="0" applyNumberFormat="1" applyFont="1" applyFill="1" applyBorder="1" applyAlignment="1">
      <alignment horizontal="center" vertical="center"/>
    </xf>
    <xf numFmtId="176" fontId="32" fillId="4" borderId="64" xfId="0" applyNumberFormat="1" applyFont="1" applyFill="1" applyBorder="1" applyAlignment="1">
      <alignment horizontal="center" vertical="center"/>
    </xf>
    <xf numFmtId="0" fontId="27" fillId="0" borderId="19" xfId="0" applyNumberFormat="1" applyFont="1" applyBorder="1" applyAlignment="1">
      <alignment horizontal="left" vertical="center" wrapText="1"/>
    </xf>
    <xf numFmtId="0" fontId="27" fillId="0" borderId="64" xfId="0" applyNumberFormat="1" applyFont="1" applyBorder="1" applyAlignment="1">
      <alignment horizontal="left" vertical="center" wrapText="1"/>
    </xf>
    <xf numFmtId="0" fontId="31" fillId="4" borderId="50" xfId="0" applyFont="1" applyFill="1" applyBorder="1" applyAlignment="1">
      <alignment horizontal="center" vertical="center"/>
    </xf>
    <xf numFmtId="0" fontId="31" fillId="4" borderId="51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/>
    </xf>
    <xf numFmtId="165" fontId="36" fillId="0" borderId="65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66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165" fontId="36" fillId="0" borderId="8" xfId="0" applyNumberFormat="1" applyFont="1" applyFill="1" applyBorder="1" applyAlignment="1">
      <alignment horizontal="center" vertical="center" wrapText="1"/>
    </xf>
    <xf numFmtId="165" fontId="36" fillId="0" borderId="67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ormal 3 2" xfId="21"/>
    <cellStyle name="Separador de milhares 3" xfId="22"/>
    <cellStyle name="Normal 2 2 3" xfId="23"/>
    <cellStyle name="Normal 2 2 2" xfId="24"/>
    <cellStyle name="Separador de milhares 11" xfId="25"/>
    <cellStyle name="Porcentagem 2 2" xfId="26"/>
    <cellStyle name="Normal 2 2 2 2" xfId="27"/>
    <cellStyle name="TableStyleLight1" xfId="28"/>
    <cellStyle name="Excel Built-in Normal" xfId="29"/>
    <cellStyle name="Moeda 10" xfId="30"/>
    <cellStyle name="Vírgula 2" xfId="31"/>
    <cellStyle name="Moeda 2" xfId="32"/>
    <cellStyle name="Normal_Pesquisa no referencial 10 de maio de 2013" xfId="33"/>
    <cellStyle name="Vírgula 3" xfId="34"/>
    <cellStyle name="Porcentagem" xfId="35"/>
  </cellStyles>
  <dxfs count="110"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font>
        <b/>
        <i val="0"/>
      </font>
      <fill>
        <patternFill>
          <bgColor rgb="FFC00000"/>
        </patternFill>
      </fill>
      <border/>
    </dxf>
    <dxf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0</xdr:row>
      <xdr:rowOff>28575</xdr:rowOff>
    </xdr:from>
    <xdr:to>
      <xdr:col>1</xdr:col>
      <xdr:colOff>5314950</xdr:colOff>
      <xdr:row>2</xdr:row>
      <xdr:rowOff>171450</xdr:rowOff>
    </xdr:to>
    <xdr:sp macro="" fLocksText="0" textlink="">
      <xdr:nvSpPr>
        <xdr:cNvPr id="2" name="Text Box 4"/>
        <xdr:cNvSpPr txBox="1">
          <a:spLocks noChangeArrowheads="1"/>
        </xdr:cNvSpPr>
      </xdr:nvSpPr>
      <xdr:spPr bwMode="auto">
        <a:xfrm>
          <a:off x="2133600" y="28575"/>
          <a:ext cx="3790950" cy="523875"/>
        </a:xfrm>
        <a:prstGeom prst="rect">
          <a:avLst/>
        </a:prstGeom>
        <a:noFill/>
        <a:ln w="9525">
          <a:noFill/>
        </a:ln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CCR CONSTRUÇÕES LTDA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CNPJ 63.336.572/0001-66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INSC. EST. 19417692-4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RUA SENADOR TEODORO PACHECO 988 SALA 910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EN%20PI&#199;OS-PI\OR&#199;AMEN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AppData\Local\Temp\Rar$DIa0.067\REFORMA%20CAMPUS%20PARNAIBA%20DEFINITIV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CITA&#199;&#213;ES%20UFPI\tomada%20de%20pre&#231;os%20009_2016\Reforma%20do%20Audit&#243;rio_Floriano-PI%20(23.08.16)\2%20-%20OR&#199;AMENTO\Reforma%20do%20Audit&#243;rio_Floriano-PI%20(23.08.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Mem. cálculo"/>
      <sheetName val="CPU"/>
      <sheetName val="BDI"/>
      <sheetName val="Encargos Sociais"/>
      <sheetName val="Cronograma"/>
    </sheetNames>
    <sheetDataSet>
      <sheetData sheetId="0">
        <row r="170">
          <cell r="A170" t="str">
            <v>OBSERVAÇÕES GERAIS: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CRONOGRAMA"/>
      <sheetName val="1.0"/>
      <sheetName val="2.0"/>
      <sheetName val="3.0"/>
      <sheetName val="4.0"/>
      <sheetName val="5.0"/>
      <sheetName val="6.0"/>
      <sheetName val="7.0"/>
      <sheetName val="8.0"/>
      <sheetName val="9.0"/>
      <sheetName val="Elétrica - GINÁSIO"/>
      <sheetName val="Comp. elétrica - GINÁSIO"/>
      <sheetName val="Elétrica - PASSARELA"/>
      <sheetName val="Comp. elétrica - PASSARELA"/>
      <sheetName val="Elétrica - VESTIÁRIO"/>
      <sheetName val="Comp. elétrica - VESTIÁRIO"/>
      <sheetName val="Hidráulica"/>
      <sheetName val="Comp. Hidráulica"/>
      <sheetName val="Sanitária "/>
      <sheetName val="Comp. Sanitá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8">
          <cell r="F8">
            <v>24.683999999999997</v>
          </cell>
        </row>
        <row r="56">
          <cell r="F56">
            <v>4.7538</v>
          </cell>
        </row>
        <row r="70">
          <cell r="F70">
            <v>9.2574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Mem. cálculo"/>
      <sheetName val="CPU"/>
      <sheetName val="BDI"/>
      <sheetName val="Encargos Sociais"/>
      <sheetName val="Cronograma"/>
    </sheetNames>
    <sheetDataSet>
      <sheetData sheetId="0">
        <row r="6">
          <cell r="G6" t="str">
            <v>VALOR:</v>
          </cell>
          <cell r="H6">
            <v>151474.42</v>
          </cell>
        </row>
        <row r="7">
          <cell r="G7" t="str">
            <v>DATA:</v>
          </cell>
          <cell r="H7">
            <v>42817</v>
          </cell>
        </row>
        <row r="8">
          <cell r="G8" t="str">
            <v>DATA-BASE:</v>
          </cell>
          <cell r="H8" t="str">
            <v>MARÇO/2017</v>
          </cell>
        </row>
        <row r="10">
          <cell r="D10" t="str">
            <v>ESPECIFICAÇÃO</v>
          </cell>
          <cell r="E10" t="str">
            <v>UND</v>
          </cell>
          <cell r="F10" t="str">
            <v>QUANT</v>
          </cell>
          <cell r="G10" t="str">
            <v>UNIT SEM BDI (R$)</v>
          </cell>
          <cell r="H10" t="str">
            <v>UNIT COM BDI (R$)</v>
          </cell>
          <cell r="I10" t="str">
            <v> TOTAL (R$)</v>
          </cell>
        </row>
        <row r="11">
          <cell r="I11">
            <v>13001.19</v>
          </cell>
        </row>
        <row r="12">
          <cell r="D12" t="str">
            <v>Art da obra</v>
          </cell>
          <cell r="E12" t="str">
            <v>un</v>
          </cell>
          <cell r="F12">
            <v>1</v>
          </cell>
          <cell r="G12">
            <v>195.96</v>
          </cell>
          <cell r="H12">
            <v>248.87</v>
          </cell>
          <cell r="I12">
            <v>248.87</v>
          </cell>
        </row>
        <row r="13">
          <cell r="D13" t="str">
            <v>Administração local da obra</v>
          </cell>
          <cell r="E13" t="str">
            <v>mês</v>
          </cell>
          <cell r="F13">
            <v>2</v>
          </cell>
          <cell r="G13">
            <v>5020.6</v>
          </cell>
          <cell r="H13">
            <v>6376.16</v>
          </cell>
          <cell r="I13">
            <v>12752.32</v>
          </cell>
        </row>
        <row r="15">
          <cell r="I15">
            <v>8456.43</v>
          </cell>
        </row>
        <row r="16">
          <cell r="D16" t="str">
            <v>Placa de obra em chapa de aço galvanizado</v>
          </cell>
          <cell r="E16" t="str">
            <v>m2</v>
          </cell>
          <cell r="F16">
            <v>6</v>
          </cell>
          <cell r="G16">
            <v>260.71</v>
          </cell>
          <cell r="H16">
            <v>331.1</v>
          </cell>
          <cell r="I16">
            <v>1986.6</v>
          </cell>
        </row>
        <row r="17">
          <cell r="D17" t="str">
            <v>Retirada de aparelhos sanitários</v>
          </cell>
          <cell r="E17" t="str">
            <v>un</v>
          </cell>
          <cell r="F17">
            <v>3</v>
          </cell>
          <cell r="G17">
            <v>13.6</v>
          </cell>
          <cell r="H17">
            <v>17.27</v>
          </cell>
          <cell r="I17">
            <v>51.81</v>
          </cell>
        </row>
        <row r="18">
          <cell r="D18" t="str">
            <v>Retirada de esquadrias</v>
          </cell>
          <cell r="E18" t="str">
            <v>un</v>
          </cell>
          <cell r="F18">
            <v>1</v>
          </cell>
          <cell r="G18">
            <v>20.49</v>
          </cell>
          <cell r="H18">
            <v>26.02</v>
          </cell>
          <cell r="I18">
            <v>26.02</v>
          </cell>
        </row>
        <row r="19">
          <cell r="D19" t="str">
            <v>Demolição de alvenaria de tijolos furados s/ reaproveitamento</v>
          </cell>
          <cell r="E19" t="str">
            <v>m3</v>
          </cell>
          <cell r="F19">
            <v>2.07</v>
          </cell>
          <cell r="G19">
            <v>67.84</v>
          </cell>
          <cell r="H19">
            <v>86.16</v>
          </cell>
          <cell r="I19">
            <v>178.35</v>
          </cell>
        </row>
        <row r="20">
          <cell r="D20" t="str">
            <v>Retirada de forro existente</v>
          </cell>
          <cell r="E20" t="str">
            <v>m2</v>
          </cell>
          <cell r="F20">
            <v>220.7</v>
          </cell>
          <cell r="G20">
            <v>5.4</v>
          </cell>
          <cell r="H20">
            <v>6.86</v>
          </cell>
          <cell r="I20">
            <v>1514</v>
          </cell>
        </row>
        <row r="21">
          <cell r="D21" t="str">
            <v>Retirada de revestimento cerâmico e argamassa de assentamento - WC</v>
          </cell>
          <cell r="E21" t="str">
            <v>m2</v>
          </cell>
          <cell r="F21">
            <v>15.7</v>
          </cell>
          <cell r="G21">
            <v>39.34</v>
          </cell>
          <cell r="H21">
            <v>49.96</v>
          </cell>
          <cell r="I21">
            <v>784.37</v>
          </cell>
        </row>
        <row r="22">
          <cell r="D22" t="str">
            <v>Retirada de caixa de ar condicionado</v>
          </cell>
          <cell r="E22" t="str">
            <v>un</v>
          </cell>
          <cell r="F22">
            <v>2</v>
          </cell>
          <cell r="G22">
            <v>45.18</v>
          </cell>
          <cell r="H22">
            <v>57.38</v>
          </cell>
          <cell r="I22">
            <v>114.76</v>
          </cell>
        </row>
        <row r="23">
          <cell r="D23" t="str">
            <v>Demolição de prateleira de concreto</v>
          </cell>
          <cell r="E23" t="str">
            <v>m3</v>
          </cell>
          <cell r="F23">
            <v>0.94</v>
          </cell>
          <cell r="G23">
            <v>176.39</v>
          </cell>
          <cell r="H23">
            <v>224.02</v>
          </cell>
          <cell r="I23">
            <v>210.58</v>
          </cell>
        </row>
        <row r="24">
          <cell r="D24" t="str">
            <v>Retirada de adesivo do antigo piso vinílico</v>
          </cell>
          <cell r="E24" t="str">
            <v>m2</v>
          </cell>
          <cell r="F24">
            <v>217.6</v>
          </cell>
          <cell r="G24">
            <v>4.07</v>
          </cell>
          <cell r="H24">
            <v>5.17</v>
          </cell>
          <cell r="I24">
            <v>1124.99</v>
          </cell>
        </row>
        <row r="25">
          <cell r="D25" t="str">
            <v>Demolição de piso (retirada de patamares próximas ao palco)</v>
          </cell>
          <cell r="E25" t="str">
            <v>m3</v>
          </cell>
          <cell r="F25">
            <v>5.75</v>
          </cell>
          <cell r="G25">
            <v>176.39</v>
          </cell>
          <cell r="H25">
            <v>224.02</v>
          </cell>
          <cell r="I25">
            <v>1288.12</v>
          </cell>
        </row>
        <row r="26">
          <cell r="D26" t="str">
            <v>Carga manual de entulho em caminhão basculante 6 m3</v>
          </cell>
          <cell r="E26" t="str">
            <v>m3</v>
          </cell>
          <cell r="F26">
            <v>42.5</v>
          </cell>
          <cell r="G26">
            <v>16.98</v>
          </cell>
          <cell r="H26">
            <v>21.56</v>
          </cell>
          <cell r="I26">
            <v>916.3</v>
          </cell>
        </row>
        <row r="27">
          <cell r="D27" t="str">
            <v>Transporte de entulho com caminhão basculante 6 m3, rodovia pavimentada, dmt 0,5 a 1,0 km</v>
          </cell>
          <cell r="E27" t="str">
            <v>m3</v>
          </cell>
          <cell r="F27">
            <v>42.5</v>
          </cell>
          <cell r="G27">
            <v>4.83</v>
          </cell>
          <cell r="H27">
            <v>6.13</v>
          </cell>
          <cell r="I27">
            <v>260.53</v>
          </cell>
        </row>
        <row r="29">
          <cell r="I29">
            <v>1518.73</v>
          </cell>
        </row>
        <row r="30">
          <cell r="D30" t="str">
            <v>Alvenaria de vedação de blocos cerâmicos furados de 9x19x19cm com vãos e argamassa de assentamento com preparo em betoneira</v>
          </cell>
          <cell r="E30" t="str">
            <v>m2</v>
          </cell>
          <cell r="F30">
            <v>13.06</v>
          </cell>
          <cell r="G30">
            <v>51.4</v>
          </cell>
          <cell r="H30">
            <v>65.28</v>
          </cell>
          <cell r="I30">
            <v>852.56</v>
          </cell>
        </row>
        <row r="31">
          <cell r="D31" t="str">
            <v>Verga moldada in loco em concreto</v>
          </cell>
          <cell r="E31" t="str">
            <v>m</v>
          </cell>
          <cell r="F31">
            <v>6.7</v>
          </cell>
          <cell r="G31">
            <v>46.18</v>
          </cell>
          <cell r="H31">
            <v>58.65</v>
          </cell>
          <cell r="I31">
            <v>392.96</v>
          </cell>
        </row>
        <row r="32">
          <cell r="D32" t="str">
            <v>Contraverga moldada in loco em concreto</v>
          </cell>
          <cell r="E32" t="str">
            <v>m</v>
          </cell>
          <cell r="F32">
            <v>5.2</v>
          </cell>
          <cell r="G32">
            <v>41.37</v>
          </cell>
          <cell r="H32">
            <v>52.54</v>
          </cell>
          <cell r="I32">
            <v>273.21</v>
          </cell>
        </row>
        <row r="34">
          <cell r="I34">
            <v>24833.26</v>
          </cell>
        </row>
        <row r="35">
          <cell r="D35" t="str">
            <v>Forro de fibra mineral Hunter Douglas SRA=0,65, NRC=0,65, CAC=31 a 49dB ou similar - fornecimento e instalação</v>
          </cell>
          <cell r="E35" t="str">
            <v>m2</v>
          </cell>
          <cell r="F35">
            <v>214.9</v>
          </cell>
          <cell r="G35">
            <v>90.07</v>
          </cell>
          <cell r="H35">
            <v>114.39</v>
          </cell>
          <cell r="I35">
            <v>24582.41</v>
          </cell>
        </row>
        <row r="36">
          <cell r="D36" t="str">
            <v>Forro em lambris de PVC</v>
          </cell>
          <cell r="E36" t="str">
            <v>m2</v>
          </cell>
          <cell r="F36">
            <v>5.36</v>
          </cell>
          <cell r="G36">
            <v>36.85</v>
          </cell>
          <cell r="H36">
            <v>46.8</v>
          </cell>
          <cell r="I36">
            <v>250.85</v>
          </cell>
        </row>
        <row r="38">
          <cell r="I38">
            <v>14563.64</v>
          </cell>
        </row>
        <row r="39">
          <cell r="D39" t="str">
            <v>J1 (0,85 x 0,75m) - Janela pivotante horizontal, tipo basculante, fechamento em quadriculado de metalon com vidro jateado transparente, 5mm. (conforme projeto arquitetônico)</v>
          </cell>
          <cell r="E39" t="str">
            <v>un</v>
          </cell>
          <cell r="F39">
            <v>2</v>
          </cell>
          <cell r="G39">
            <v>231.95</v>
          </cell>
          <cell r="H39">
            <v>294.58</v>
          </cell>
          <cell r="I39">
            <v>589.16</v>
          </cell>
        </row>
        <row r="40">
          <cell r="D40" t="str">
            <v>V1 (1,80 x 1,10 m/ 1,00m) - Visor em vidro laminado incolor (e=8mm) fixado em requadro em alumínio anodizado branco nas quatro faces dos vãos</v>
          </cell>
          <cell r="E40" t="str">
            <v>un</v>
          </cell>
          <cell r="F40">
            <v>1</v>
          </cell>
          <cell r="G40">
            <v>1484.7</v>
          </cell>
          <cell r="H40">
            <v>1885.57</v>
          </cell>
          <cell r="I40">
            <v>1885.57</v>
          </cell>
        </row>
        <row r="41">
          <cell r="D41" t="str">
            <v>P1 (0,90 x 2,50m)- Porta tipo abrir 0,90x2,10m, tipo semi oca. Fechadura tipo cilindro, maçaneta tipo alavanca. Bandeira fixa 0,90x0,40m, fechamento com vidro jateado 5mm de espessura. (conforme projeto arquitetônico)</v>
          </cell>
          <cell r="E41" t="str">
            <v>un</v>
          </cell>
          <cell r="F41">
            <v>1</v>
          </cell>
          <cell r="G41">
            <v>1192.71</v>
          </cell>
          <cell r="H41">
            <v>1514.74</v>
          </cell>
          <cell r="I41">
            <v>1514.74</v>
          </cell>
        </row>
        <row r="42">
          <cell r="D42" t="str">
            <v>P2 (1,80 x 2,50m) - Porta tipo abrir duas folhas de 90 x 210m, em chapa lisa metálica. Visor quadriculado metálico com fechamento em vidro jateado 6mm. Bandeira de 0,40m com fechamento em vidro jateado 5mm. (conforme projeto arquitetônico)</v>
          </cell>
          <cell r="E42" t="str">
            <v>un</v>
          </cell>
          <cell r="F42">
            <v>1</v>
          </cell>
          <cell r="G42">
            <v>2505.78</v>
          </cell>
          <cell r="H42">
            <v>3182.34</v>
          </cell>
          <cell r="I42">
            <v>3182.34</v>
          </cell>
        </row>
        <row r="43">
          <cell r="D43" t="str">
            <v>P3 (0,90 x 2,10m) - Substituir porta existente por porta tipo abrir, em chapa lisa metálica. Visor quadriculado metálico com fechamento em vidro liso 6mm. Guarnição/forra metálica. (conforme projeto arquitetônico)</v>
          </cell>
          <cell r="E43" t="str">
            <v>un</v>
          </cell>
          <cell r="F43">
            <v>2</v>
          </cell>
          <cell r="G43">
            <v>1235.54</v>
          </cell>
          <cell r="H43">
            <v>1569.14</v>
          </cell>
          <cell r="I43">
            <v>3138.28</v>
          </cell>
        </row>
        <row r="44">
          <cell r="D44" t="str">
            <v>P4 (1,80 x 2,10m) - Porta de emergência, uma folha de abrir, estrutura em metalon com fechamento em chapa dupla metálica. Barras anti-pânico. (conforme projeto arquitetônico)</v>
          </cell>
          <cell r="E44" t="str">
            <v>un</v>
          </cell>
          <cell r="F44">
            <v>1</v>
          </cell>
          <cell r="G44">
            <v>3073.61</v>
          </cell>
          <cell r="H44">
            <v>3903.48</v>
          </cell>
          <cell r="I44">
            <v>3903.48</v>
          </cell>
        </row>
        <row r="45">
          <cell r="D45" t="str">
            <v>Revisão de esquadrias</v>
          </cell>
          <cell r="E45" t="str">
            <v>m2</v>
          </cell>
          <cell r="F45">
            <v>3.78</v>
          </cell>
          <cell r="G45">
            <v>72.92</v>
          </cell>
          <cell r="H45">
            <v>92.61</v>
          </cell>
          <cell r="I45">
            <v>350.07</v>
          </cell>
        </row>
        <row r="47">
          <cell r="I47">
            <v>5540.9</v>
          </cell>
        </row>
        <row r="48">
          <cell r="D48" t="str">
            <v>Ponto hidráulico, material e execução - BWC PCD</v>
          </cell>
          <cell r="E48" t="str">
            <v>pt</v>
          </cell>
          <cell r="F48">
            <v>3</v>
          </cell>
          <cell r="G48">
            <v>81.53</v>
          </cell>
          <cell r="H48">
            <v>103.54</v>
          </cell>
          <cell r="I48">
            <v>310.62</v>
          </cell>
        </row>
        <row r="49">
          <cell r="D49" t="str">
            <v>Ponto sanitário, material e execução - BWC PCD</v>
          </cell>
          <cell r="E49" t="str">
            <v>pt</v>
          </cell>
          <cell r="F49">
            <v>3</v>
          </cell>
          <cell r="G49">
            <v>134.21</v>
          </cell>
          <cell r="H49">
            <v>170.45</v>
          </cell>
          <cell r="I49">
            <v>511.35</v>
          </cell>
        </row>
        <row r="50">
          <cell r="D50" t="str">
            <v>Chuveiro com desviador para ducha manual e controle de fluxo na ducha</v>
          </cell>
          <cell r="E50" t="str">
            <v>un</v>
          </cell>
          <cell r="F50">
            <v>1</v>
          </cell>
          <cell r="G50">
            <v>303.98</v>
          </cell>
          <cell r="H50">
            <v>386.05</v>
          </cell>
          <cell r="I50">
            <v>386.05</v>
          </cell>
        </row>
        <row r="51">
          <cell r="D51" t="str">
            <v>Monocomando para chuveiro baixo, barra alta, linha Decamix, ref. 2993. C79 ou similar</v>
          </cell>
          <cell r="E51" t="str">
            <v>un</v>
          </cell>
          <cell r="F51">
            <v>1</v>
          </cell>
          <cell r="G51">
            <v>176.11</v>
          </cell>
          <cell r="H51">
            <v>223.66</v>
          </cell>
          <cell r="I51">
            <v>223.66</v>
          </cell>
        </row>
        <row r="52">
          <cell r="D52" t="str">
            <v>Torneira 20mm x 1/2" -  Apoio técnico</v>
          </cell>
          <cell r="E52" t="str">
            <v>un</v>
          </cell>
          <cell r="F52">
            <v>1</v>
          </cell>
          <cell r="G52">
            <v>72.43</v>
          </cell>
          <cell r="H52">
            <v>91.99</v>
          </cell>
          <cell r="I52">
            <v>91.99</v>
          </cell>
        </row>
        <row r="53">
          <cell r="D53" t="str">
            <v>Torneira de lavatório 20mm x 1/2" - BWC PCD</v>
          </cell>
          <cell r="E53" t="str">
            <v>un</v>
          </cell>
          <cell r="F53">
            <v>1</v>
          </cell>
          <cell r="G53">
            <v>36.26</v>
          </cell>
          <cell r="H53">
            <v>46.05</v>
          </cell>
          <cell r="I53">
            <v>46.05</v>
          </cell>
        </row>
        <row r="54">
          <cell r="D54" t="str">
            <v>Cuba de embutir oval em louça branca, 35 x 50cm ou equivalente, incluso válvula e sifão tipo garrafa em metal cromado - fornecimento e instalação</v>
          </cell>
          <cell r="E54" t="str">
            <v>un</v>
          </cell>
          <cell r="F54">
            <v>1</v>
          </cell>
          <cell r="G54">
            <v>214.29</v>
          </cell>
          <cell r="H54">
            <v>272.15</v>
          </cell>
          <cell r="I54">
            <v>272.15</v>
          </cell>
        </row>
        <row r="55">
          <cell r="D55" t="str">
            <v>Lavatório louça de canto sem coluna, c/ sifão cromado, válvula cromada, engate cromado, exclusive torneira - (banheiro PNE)</v>
          </cell>
          <cell r="E55" t="str">
            <v>un</v>
          </cell>
          <cell r="F55">
            <v>1</v>
          </cell>
          <cell r="G55">
            <v>292.88</v>
          </cell>
          <cell r="H55">
            <v>371.96</v>
          </cell>
          <cell r="I55">
            <v>371.96</v>
          </cell>
        </row>
        <row r="56">
          <cell r="D56" t="str">
            <v>Bacia sanitária convencional para pcd sem furo frontal, de louça branca, incl. acessórios de fixação, assento e válvula de descarga externa - fornecimento e instalação</v>
          </cell>
          <cell r="E56" t="str">
            <v>un</v>
          </cell>
          <cell r="F56">
            <v>1</v>
          </cell>
          <cell r="G56">
            <v>1147.16</v>
          </cell>
          <cell r="H56">
            <v>1456.89</v>
          </cell>
          <cell r="I56">
            <v>1456.89</v>
          </cell>
        </row>
        <row r="57">
          <cell r="D57" t="str">
            <v>Banco articulado para banho (p/deficientes)</v>
          </cell>
          <cell r="E57" t="str">
            <v>un</v>
          </cell>
          <cell r="F57">
            <v>1</v>
          </cell>
          <cell r="G57">
            <v>548.94</v>
          </cell>
          <cell r="H57">
            <v>697.15</v>
          </cell>
          <cell r="I57">
            <v>697.15</v>
          </cell>
        </row>
        <row r="58">
          <cell r="D58" t="str">
            <v>Barra de apoio em aço inox para lavatório - 40cm</v>
          </cell>
          <cell r="E58" t="str">
            <v>un</v>
          </cell>
          <cell r="F58">
            <v>2</v>
          </cell>
          <cell r="G58">
            <v>73.85</v>
          </cell>
          <cell r="H58">
            <v>93.79</v>
          </cell>
          <cell r="I58">
            <v>187.58</v>
          </cell>
        </row>
        <row r="59">
          <cell r="D59" t="str">
            <v>Barra de apoio em aço inox para lavatório - 60cm</v>
          </cell>
          <cell r="E59" t="str">
            <v>un</v>
          </cell>
          <cell r="F59">
            <v>1</v>
          </cell>
          <cell r="G59">
            <v>113.88</v>
          </cell>
          <cell r="H59">
            <v>144.63</v>
          </cell>
          <cell r="I59">
            <v>144.63</v>
          </cell>
        </row>
        <row r="60">
          <cell r="D60" t="str">
            <v>Barra de apoio em aço inox para lavatório - 70cm</v>
          </cell>
          <cell r="E60" t="str">
            <v>un</v>
          </cell>
          <cell r="F60">
            <v>1</v>
          </cell>
          <cell r="G60">
            <v>125.97</v>
          </cell>
          <cell r="H60">
            <v>159.98</v>
          </cell>
          <cell r="I60">
            <v>159.98</v>
          </cell>
        </row>
        <row r="61">
          <cell r="D61" t="str">
            <v>Barra de apoio em aço inox para lavatório - 80cm</v>
          </cell>
          <cell r="E61" t="str">
            <v>un</v>
          </cell>
          <cell r="F61">
            <v>4</v>
          </cell>
          <cell r="G61">
            <v>134.02</v>
          </cell>
          <cell r="H61">
            <v>170.21</v>
          </cell>
          <cell r="I61">
            <v>680.84</v>
          </cell>
        </row>
        <row r="63">
          <cell r="I63">
            <v>241.8</v>
          </cell>
        </row>
        <row r="64">
          <cell r="D64" t="str">
            <v>Rasgo em alvenaria - Cabine para projeção</v>
          </cell>
          <cell r="E64" t="str">
            <v>m</v>
          </cell>
          <cell r="F64">
            <v>7.3</v>
          </cell>
          <cell r="G64">
            <v>7.67</v>
          </cell>
          <cell r="H64">
            <v>9.74</v>
          </cell>
          <cell r="I64">
            <v>71.1</v>
          </cell>
        </row>
        <row r="65">
          <cell r="D65" t="str">
            <v>Tubo, pvc, soldável, dn 25mm, instalado em dreno de ar-condicionado - fornecimento e instalação</v>
          </cell>
          <cell r="E65" t="str">
            <v>m</v>
          </cell>
          <cell r="F65">
            <v>10.4</v>
          </cell>
          <cell r="G65">
            <v>7.55</v>
          </cell>
          <cell r="H65">
            <v>9.59</v>
          </cell>
          <cell r="I65">
            <v>99.74</v>
          </cell>
        </row>
        <row r="66">
          <cell r="D66" t="str">
            <v>Chumbamento linear em alvenaria - Cabine para projeção</v>
          </cell>
          <cell r="E66" t="str">
            <v>m</v>
          </cell>
          <cell r="F66">
            <v>7.3</v>
          </cell>
          <cell r="G66">
            <v>7.65</v>
          </cell>
          <cell r="H66">
            <v>9.72</v>
          </cell>
          <cell r="I66">
            <v>70.96</v>
          </cell>
        </row>
        <row r="67">
          <cell r="F67" t="str">
            <v/>
          </cell>
        </row>
        <row r="68">
          <cell r="F68" t="str">
            <v/>
          </cell>
          <cell r="I68">
            <v>9461.39</v>
          </cell>
        </row>
        <row r="69">
          <cell r="D69" t="str">
            <v>Ponto de iluminação, incl. interruptor simples, caixa elétrica, eletroduto, cabo, rasgo, quebra e chumbamento</v>
          </cell>
          <cell r="E69" t="str">
            <v>un</v>
          </cell>
          <cell r="F69">
            <v>6</v>
          </cell>
          <cell r="G69">
            <v>89.73</v>
          </cell>
          <cell r="H69">
            <v>113.96</v>
          </cell>
          <cell r="I69">
            <v>683.76</v>
          </cell>
        </row>
        <row r="70">
          <cell r="D70" t="str">
            <v>Ponto de utilização de equipamentos elétricos, incl. suporte e placa, caixa elétrica, eletroduto, cabo, rasgo, quebra e chumbamento</v>
          </cell>
          <cell r="E70" t="str">
            <v>m</v>
          </cell>
          <cell r="F70">
            <v>2</v>
          </cell>
          <cell r="G70">
            <v>131.14</v>
          </cell>
          <cell r="H70">
            <v>166.55</v>
          </cell>
          <cell r="I70">
            <v>333.1</v>
          </cell>
        </row>
        <row r="71">
          <cell r="D71" t="str">
            <v>Ponto de iluminação e tomada, incl. interruptor simples e tomada 10a/250v, caixa elétrica, eletroduto, cabo, rasgo, quebra e chumbamento</v>
          </cell>
          <cell r="E71" t="str">
            <v>m</v>
          </cell>
          <cell r="F71">
            <v>1</v>
          </cell>
          <cell r="G71">
            <v>132.23</v>
          </cell>
          <cell r="H71">
            <v>167.93</v>
          </cell>
          <cell r="I71">
            <v>167.93</v>
          </cell>
        </row>
        <row r="72">
          <cell r="D72" t="str">
            <v>Ponto lógico, material e execução</v>
          </cell>
          <cell r="E72" t="str">
            <v>pt</v>
          </cell>
          <cell r="F72">
            <v>2</v>
          </cell>
          <cell r="G72">
            <v>117.17</v>
          </cell>
          <cell r="H72">
            <v>148.81</v>
          </cell>
          <cell r="I72">
            <v>297.62</v>
          </cell>
        </row>
        <row r="73">
          <cell r="D73" t="str">
            <v>Revisão de ponto de tomada simples com reposição da tomada </v>
          </cell>
          <cell r="E73" t="str">
            <v>un</v>
          </cell>
          <cell r="F73">
            <v>19</v>
          </cell>
          <cell r="G73">
            <v>16.28</v>
          </cell>
          <cell r="H73">
            <v>20.68</v>
          </cell>
          <cell r="I73">
            <v>392.92</v>
          </cell>
        </row>
        <row r="74">
          <cell r="D74" t="str">
            <v>Fornecimento e instalação de trilho eletrificado de 1m </v>
          </cell>
          <cell r="E74" t="str">
            <v>un</v>
          </cell>
          <cell r="F74">
            <v>2</v>
          </cell>
          <cell r="G74">
            <v>239.26</v>
          </cell>
          <cell r="H74">
            <v>303.86</v>
          </cell>
          <cell r="I74">
            <v>607.72</v>
          </cell>
        </row>
        <row r="75">
          <cell r="D75" t="str">
            <v>Spot led dicróica, para instalação em trilho eletrificado na cor branca. Temperatura de cor entre 3.000 e 3.500K</v>
          </cell>
          <cell r="E75" t="str">
            <v>un</v>
          </cell>
          <cell r="F75">
            <v>4</v>
          </cell>
          <cell r="G75">
            <v>47.85</v>
          </cell>
          <cell r="H75">
            <v>60.77</v>
          </cell>
          <cell r="I75">
            <v>243.08</v>
          </cell>
        </row>
        <row r="76">
          <cell r="D76" t="str">
            <v>Spot led com foco direcional, com temperatura entre 6.000 e 6.500K, com pintura eletrostática branca</v>
          </cell>
          <cell r="E76" t="str">
            <v>un</v>
          </cell>
          <cell r="F76">
            <v>13</v>
          </cell>
          <cell r="G76">
            <v>112.22</v>
          </cell>
          <cell r="H76">
            <v>142.52</v>
          </cell>
          <cell r="I76">
            <v>1852.76</v>
          </cell>
        </row>
        <row r="77">
          <cell r="D77" t="str">
            <v>Reaproveitamento de luminária tipo calha, de sobrepor, com 02 lâmpadas led tubular bivolt 9/10 w, base g13 - fornecimento e instalação</v>
          </cell>
          <cell r="E77" t="str">
            <v>un</v>
          </cell>
          <cell r="F77">
            <v>2</v>
          </cell>
          <cell r="G77">
            <v>98.56</v>
          </cell>
          <cell r="H77">
            <v>125.17</v>
          </cell>
          <cell r="I77">
            <v>250.34</v>
          </cell>
        </row>
        <row r="78">
          <cell r="D78" t="str">
            <v>Reaproveitamento de luminária tipo calha, de sobrepor, com 02 lâmpadas led tubular bivolt  18/20 w, base g13 - fornecimento e instalação</v>
          </cell>
          <cell r="E78" t="str">
            <v>un</v>
          </cell>
          <cell r="F78">
            <v>23</v>
          </cell>
          <cell r="G78">
            <v>141.21</v>
          </cell>
          <cell r="H78">
            <v>179.34</v>
          </cell>
          <cell r="I78">
            <v>4124.82</v>
          </cell>
        </row>
        <row r="79">
          <cell r="D79" t="str">
            <v>Lâmpada led 10 w bivolt branca, formato tradicional (base e27) - fornecimento e instalação</v>
          </cell>
          <cell r="E79" t="str">
            <v>un</v>
          </cell>
          <cell r="F79">
            <v>2</v>
          </cell>
          <cell r="G79">
            <v>33.34</v>
          </cell>
          <cell r="H79">
            <v>42.34</v>
          </cell>
          <cell r="I79">
            <v>84.68</v>
          </cell>
        </row>
        <row r="80">
          <cell r="D80" t="str">
            <v>Arandela para fluorescente compacta 18w em alumínio anodizado e pintado por processo eletrostático com um visor em vidro fosco</v>
          </cell>
          <cell r="E80" t="str">
            <v>un</v>
          </cell>
          <cell r="F80">
            <v>2</v>
          </cell>
          <cell r="G80">
            <v>166.4</v>
          </cell>
          <cell r="H80">
            <v>211.33</v>
          </cell>
          <cell r="I80">
            <v>422.66</v>
          </cell>
        </row>
        <row r="82">
          <cell r="I82">
            <v>3418.09</v>
          </cell>
        </row>
        <row r="83">
          <cell r="D83" t="str">
            <v>Emboço cimento areia 1:4 esp=1,5cm incl. chapisco 1:3 e=9mm</v>
          </cell>
          <cell r="E83" t="str">
            <v>m2</v>
          </cell>
          <cell r="F83">
            <v>27.78</v>
          </cell>
          <cell r="G83">
            <v>23.11</v>
          </cell>
          <cell r="H83">
            <v>29.35</v>
          </cell>
          <cell r="I83">
            <v>815.34</v>
          </cell>
        </row>
        <row r="84">
          <cell r="D84" t="str">
            <v>Cerâmica esmaltada c/ arg. pré-fabricada 30x30cm (900cm²) - PEI-5/ PEI-4 - p/ parede</v>
          </cell>
          <cell r="E84" t="str">
            <v>m2</v>
          </cell>
          <cell r="F84">
            <v>35.9</v>
          </cell>
          <cell r="G84">
            <v>57.09</v>
          </cell>
          <cell r="H84">
            <v>72.5</v>
          </cell>
          <cell r="I84">
            <v>2602.75</v>
          </cell>
        </row>
        <row r="86">
          <cell r="I86">
            <v>32825.36</v>
          </cell>
        </row>
        <row r="87">
          <cell r="D87" t="str">
            <v>Piso vinilico semiflexivel padrão liso, espessura 2mm, fixado com cola</v>
          </cell>
          <cell r="E87" t="str">
            <v>m2</v>
          </cell>
          <cell r="F87">
            <v>228.87</v>
          </cell>
          <cell r="G87">
            <v>83.28</v>
          </cell>
          <cell r="H87">
            <v>105.77</v>
          </cell>
          <cell r="I87">
            <v>24207.58</v>
          </cell>
        </row>
        <row r="88">
          <cell r="D88" t="str">
            <v>Revestimento cerâmico para piso, 30x30 cm aplicada nos banheiros</v>
          </cell>
          <cell r="E88" t="str">
            <v>m2</v>
          </cell>
          <cell r="F88">
            <v>5.36</v>
          </cell>
          <cell r="G88">
            <v>46.88</v>
          </cell>
          <cell r="H88">
            <v>59.54</v>
          </cell>
          <cell r="I88">
            <v>319.13</v>
          </cell>
        </row>
        <row r="89">
          <cell r="D89" t="str">
            <v>Soleira granito cinza 15 x 3cm</v>
          </cell>
          <cell r="E89" t="str">
            <v>m</v>
          </cell>
          <cell r="F89">
            <v>1.8</v>
          </cell>
          <cell r="G89">
            <v>106.26</v>
          </cell>
          <cell r="H89">
            <v>134.95</v>
          </cell>
          <cell r="I89">
            <v>242.91</v>
          </cell>
        </row>
        <row r="90">
          <cell r="D90" t="str">
            <v>Piso tátil direcional de borracha, 25 x 25 cm, e = 5 mm, para cola</v>
          </cell>
          <cell r="E90" t="str">
            <v>m</v>
          </cell>
          <cell r="F90">
            <v>62.75</v>
          </cell>
          <cell r="G90">
            <v>44.98</v>
          </cell>
          <cell r="H90">
            <v>57.12</v>
          </cell>
          <cell r="I90">
            <v>3584.28</v>
          </cell>
        </row>
        <row r="91">
          <cell r="D91" t="str">
            <v>Piso tátil de alerta de borracha, 25 x 25 cm, e = 5 mm, para cola</v>
          </cell>
          <cell r="E91" t="str">
            <v>m</v>
          </cell>
          <cell r="F91">
            <v>34.25</v>
          </cell>
          <cell r="G91">
            <v>44.98</v>
          </cell>
          <cell r="H91">
            <v>57.12</v>
          </cell>
          <cell r="I91">
            <v>1956.36</v>
          </cell>
        </row>
        <row r="92">
          <cell r="D92" t="str">
            <v>Baldrame - rampa</v>
          </cell>
          <cell r="E92" t="str">
            <v>m3</v>
          </cell>
          <cell r="F92">
            <v>2.24</v>
          </cell>
          <cell r="G92">
            <v>368.91</v>
          </cell>
          <cell r="H92">
            <v>468.52</v>
          </cell>
          <cell r="I92">
            <v>1049.48</v>
          </cell>
        </row>
        <row r="93">
          <cell r="D93" t="str">
            <v>Colchão de areia - rampa</v>
          </cell>
          <cell r="E93" t="str">
            <v>m3</v>
          </cell>
          <cell r="F93">
            <v>0.64</v>
          </cell>
          <cell r="G93">
            <v>49.44</v>
          </cell>
          <cell r="H93">
            <v>62.79</v>
          </cell>
          <cell r="I93">
            <v>40.19</v>
          </cell>
        </row>
        <row r="94">
          <cell r="D94" t="str">
            <v>Apiloamento de colchão de areia - rampa</v>
          </cell>
          <cell r="E94" t="str">
            <v>m3</v>
          </cell>
          <cell r="F94">
            <v>12.46</v>
          </cell>
          <cell r="G94">
            <v>36.16</v>
          </cell>
          <cell r="H94">
            <v>45.92</v>
          </cell>
          <cell r="I94">
            <v>572.16</v>
          </cell>
        </row>
        <row r="95">
          <cell r="D95" t="str">
            <v>Calçada em concreto, espessura 7cm, com junta de dilatação em madeira, incluso lançamento e adensamento - rampa</v>
          </cell>
          <cell r="E95" t="str">
            <v>m2</v>
          </cell>
          <cell r="F95">
            <v>17.46</v>
          </cell>
          <cell r="G95">
            <v>38.48</v>
          </cell>
          <cell r="H95">
            <v>48.87</v>
          </cell>
          <cell r="I95">
            <v>853.27</v>
          </cell>
        </row>
        <row r="97">
          <cell r="I97">
            <v>4281.43</v>
          </cell>
        </row>
        <row r="98">
          <cell r="D98" t="str">
            <v>Fundo selador acrílico em paredes, uma demão</v>
          </cell>
          <cell r="E98" t="str">
            <v>m2</v>
          </cell>
          <cell r="F98">
            <v>27.78</v>
          </cell>
          <cell r="G98">
            <v>1.47</v>
          </cell>
          <cell r="H98">
            <v>1.87</v>
          </cell>
          <cell r="I98">
            <v>51.95</v>
          </cell>
        </row>
        <row r="99">
          <cell r="D99" t="str">
            <v>Aplicação e lixamento de massa látex em paredes, uma demão</v>
          </cell>
          <cell r="E99" t="str">
            <v>m2</v>
          </cell>
          <cell r="F99">
            <v>27.78</v>
          </cell>
          <cell r="G99">
            <v>5.83</v>
          </cell>
          <cell r="H99">
            <v>7.4</v>
          </cell>
          <cell r="I99">
            <v>205.57</v>
          </cell>
        </row>
        <row r="100">
          <cell r="D100" t="str">
            <v>Aplicação manual de pintura com tinta látex acrílica em paredes, duas demãos</v>
          </cell>
          <cell r="E100" t="str">
            <v>m2</v>
          </cell>
          <cell r="F100">
            <v>300.04</v>
          </cell>
          <cell r="G100">
            <v>9.39</v>
          </cell>
          <cell r="H100">
            <v>11.93</v>
          </cell>
          <cell r="I100">
            <v>3579.48</v>
          </cell>
        </row>
        <row r="101">
          <cell r="D101" t="str">
            <v>Pintura esmalte fosco, duas demãos, sobre superfície metálica, incluso uma demão de fundo anticorrosivo</v>
          </cell>
          <cell r="E101" t="str">
            <v>m2</v>
          </cell>
          <cell r="F101">
            <v>29.53</v>
          </cell>
          <cell r="G101">
            <v>11.85</v>
          </cell>
          <cell r="H101">
            <v>15.05</v>
          </cell>
          <cell r="I101">
            <v>444.43</v>
          </cell>
        </row>
        <row r="103">
          <cell r="I103">
            <v>12461.76</v>
          </cell>
        </row>
        <row r="104">
          <cell r="D104" t="str">
            <v>Ponto para sistema de som - material e execução (incluso braçadeira p/ fixação, caixa estampada 4''x6'', caixa de ligação, eletroduto de pvc rígido 3/4'', fio paralelo isolado (2 x 1,50)mm2 e acessórios)</v>
          </cell>
          <cell r="E104" t="str">
            <v>pt</v>
          </cell>
          <cell r="F104">
            <v>16</v>
          </cell>
          <cell r="G104">
            <v>241.92</v>
          </cell>
          <cell r="H104">
            <v>288.13</v>
          </cell>
          <cell r="I104">
            <v>4610.08</v>
          </cell>
        </row>
        <row r="105">
          <cell r="D105" t="str">
            <v>Caixa de som 25 W RMS suspensa, inclusive suporte</v>
          </cell>
          <cell r="E105" t="str">
            <v>un</v>
          </cell>
          <cell r="F105">
            <v>16</v>
          </cell>
          <cell r="G105">
            <v>412.03</v>
          </cell>
          <cell r="H105">
            <v>490.73</v>
          </cell>
          <cell r="I105">
            <v>7851.68</v>
          </cell>
        </row>
        <row r="107">
          <cell r="I107">
            <v>5120.48</v>
          </cell>
        </row>
        <row r="108">
          <cell r="D108" t="str">
            <v>Fornecimento de ar condicionado tipo split wall 12.000 BTU's (evaporadora e condensadora)</v>
          </cell>
          <cell r="E108" t="str">
            <v>un</v>
          </cell>
          <cell r="F108">
            <v>1</v>
          </cell>
          <cell r="G108">
            <v>1849.31</v>
          </cell>
          <cell r="H108">
            <v>2202.53</v>
          </cell>
          <cell r="I108">
            <v>2202.53</v>
          </cell>
        </row>
        <row r="109">
          <cell r="D109" t="str">
            <v>Fornecimento de ar condicionado tipo split wall 18.000 BTU's (evaporadora e condensadora)</v>
          </cell>
          <cell r="E109" t="str">
            <v>un</v>
          </cell>
          <cell r="F109">
            <v>1</v>
          </cell>
          <cell r="G109">
            <v>2450</v>
          </cell>
          <cell r="H109">
            <v>2917.95</v>
          </cell>
          <cell r="I109">
            <v>2917.95</v>
          </cell>
        </row>
        <row r="111">
          <cell r="I111">
            <v>2432.53</v>
          </cell>
        </row>
        <row r="112">
          <cell r="D112" t="str">
            <v>Luminária de emergência com 31 Leds c/ autonomia de 1 hora </v>
          </cell>
          <cell r="E112" t="str">
            <v>un</v>
          </cell>
          <cell r="F112">
            <v>8</v>
          </cell>
          <cell r="G112">
            <v>35.97</v>
          </cell>
          <cell r="H112">
            <v>45.68</v>
          </cell>
          <cell r="I112">
            <v>365.44</v>
          </cell>
        </row>
        <row r="113">
          <cell r="D113" t="str">
            <v>Extintor de pó químico ABC, capacidade 6 kg, alcance médio do jato 5m , tempo de descarga 12s, NBR9443, 9444, 10721 </v>
          </cell>
          <cell r="E113" t="str">
            <v>un</v>
          </cell>
          <cell r="F113">
            <v>2</v>
          </cell>
          <cell r="G113">
            <v>123.05</v>
          </cell>
          <cell r="H113">
            <v>156.27</v>
          </cell>
          <cell r="I113">
            <v>312.54</v>
          </cell>
        </row>
        <row r="114">
          <cell r="D114" t="str">
            <v>Instalação de barra anti-pânico c/ trava em aço inox - Porta de entrada existente</v>
          </cell>
          <cell r="E114" t="str">
            <v>par</v>
          </cell>
          <cell r="F114">
            <v>1</v>
          </cell>
          <cell r="G114">
            <v>1072.19</v>
          </cell>
          <cell r="H114">
            <v>1361.68</v>
          </cell>
          <cell r="I114">
            <v>1361.68</v>
          </cell>
        </row>
        <row r="115">
          <cell r="D115" t="str">
            <v>Sinalização "SAÍDA" - indicação da direção de rota de fuga - 20x40cm</v>
          </cell>
          <cell r="E115" t="str">
            <v>un</v>
          </cell>
          <cell r="F115">
            <v>5</v>
          </cell>
          <cell r="G115">
            <v>30.37</v>
          </cell>
          <cell r="H115">
            <v>38.57</v>
          </cell>
          <cell r="I115">
            <v>192.85</v>
          </cell>
        </row>
        <row r="116">
          <cell r="D116" t="str">
            <v>Sinalização "SAÍDA" - indicação das saídas de emergência - 20x40cm</v>
          </cell>
          <cell r="E116" t="str">
            <v>un</v>
          </cell>
          <cell r="F116">
            <v>2</v>
          </cell>
          <cell r="G116">
            <v>30.37</v>
          </cell>
          <cell r="H116">
            <v>38.57</v>
          </cell>
          <cell r="I116">
            <v>77.14</v>
          </cell>
        </row>
        <row r="117">
          <cell r="D117" t="str">
            <v>Sinalização - extintores de incêndio</v>
          </cell>
          <cell r="E117" t="str">
            <v>un</v>
          </cell>
          <cell r="F117">
            <v>2</v>
          </cell>
          <cell r="G117">
            <v>17.41</v>
          </cell>
          <cell r="H117">
            <v>22.11</v>
          </cell>
          <cell r="I117">
            <v>44.22</v>
          </cell>
        </row>
        <row r="118">
          <cell r="D118" t="str">
            <v>Sinalização "APERTE E EMPURRE" - porta corta-fogo - 20x40cm</v>
          </cell>
          <cell r="E118" t="str">
            <v>un</v>
          </cell>
          <cell r="F118">
            <v>2</v>
          </cell>
          <cell r="G118">
            <v>30.97</v>
          </cell>
          <cell r="H118">
            <v>39.33</v>
          </cell>
          <cell r="I118">
            <v>78.66</v>
          </cell>
        </row>
        <row r="120">
          <cell r="I120">
            <v>13317.42</v>
          </cell>
        </row>
        <row r="121">
          <cell r="D121" t="str">
            <v>Granito cinza andorinha para bancadas e prateleiras - fornecimento e instalação</v>
          </cell>
          <cell r="E121" t="str">
            <v>m2</v>
          </cell>
          <cell r="F121">
            <v>15.1</v>
          </cell>
          <cell r="G121">
            <v>315.2</v>
          </cell>
          <cell r="H121">
            <v>400.3</v>
          </cell>
          <cell r="I121">
            <v>6044.53</v>
          </cell>
        </row>
        <row r="122">
          <cell r="D122" t="str">
            <v>Suporte metálico para bancadas l=60cm, incl. tratamento antioxidante e pintura em esmalte sintético - Cabine de projeção</v>
          </cell>
          <cell r="E122" t="str">
            <v>un</v>
          </cell>
          <cell r="F122">
            <v>8</v>
          </cell>
          <cell r="G122">
            <v>13.51</v>
          </cell>
          <cell r="H122">
            <v>17.16</v>
          </cell>
          <cell r="I122">
            <v>137.28</v>
          </cell>
        </row>
        <row r="123">
          <cell r="D123" t="str">
            <v>Suporte metálico para bancadas l=50cm, incl. tratamento antioxidante e pintura em esmalte sintético - Apoio Técnico</v>
          </cell>
          <cell r="E123" t="str">
            <v>un</v>
          </cell>
          <cell r="F123">
            <v>4</v>
          </cell>
          <cell r="G123">
            <v>12.46</v>
          </cell>
          <cell r="H123">
            <v>15.82</v>
          </cell>
          <cell r="I123">
            <v>63.28</v>
          </cell>
        </row>
        <row r="124">
          <cell r="D124" t="str">
            <v>Suporte metálico para prateleiras l=30cm, incl. tratamento antioxidante e pintura em esmalte sintético</v>
          </cell>
          <cell r="E124" t="str">
            <v>un</v>
          </cell>
          <cell r="F124">
            <v>12</v>
          </cell>
          <cell r="G124">
            <v>51.82</v>
          </cell>
          <cell r="H124">
            <v>65.81</v>
          </cell>
          <cell r="I124">
            <v>789.72</v>
          </cell>
        </row>
        <row r="125">
          <cell r="D125" t="str">
            <v>Abertura em bancada para encaixe de cuba ou lavatório</v>
          </cell>
          <cell r="E125" t="str">
            <v>un</v>
          </cell>
          <cell r="F125">
            <v>1</v>
          </cell>
          <cell r="G125">
            <v>79.07</v>
          </cell>
          <cell r="H125">
            <v>100.42</v>
          </cell>
          <cell r="I125">
            <v>100.42</v>
          </cell>
        </row>
        <row r="126">
          <cell r="D126" t="str">
            <v>Furo para torneira ou outros acessórios em bancada</v>
          </cell>
          <cell r="E126" t="str">
            <v>un</v>
          </cell>
          <cell r="F126">
            <v>7</v>
          </cell>
          <cell r="G126">
            <v>11.86</v>
          </cell>
          <cell r="H126">
            <v>15.06</v>
          </cell>
          <cell r="I126">
            <v>105.42</v>
          </cell>
        </row>
        <row r="127">
          <cell r="D127" t="str">
            <v>Guarda-corpo com corrimão em tubo de aço galvanizado 1 1/2"</v>
          </cell>
          <cell r="E127" t="str">
            <v>m</v>
          </cell>
          <cell r="F127">
            <v>22.65</v>
          </cell>
          <cell r="G127">
            <v>169.34</v>
          </cell>
          <cell r="H127">
            <v>215.06</v>
          </cell>
          <cell r="I127">
            <v>4871.11</v>
          </cell>
        </row>
        <row r="128">
          <cell r="D128" t="str">
            <v>Corrimão em tubo aço galvanizado 2 1/2" com braçadeira</v>
          </cell>
          <cell r="E128" t="str">
            <v>m</v>
          </cell>
          <cell r="F128">
            <v>2.05</v>
          </cell>
          <cell r="G128">
            <v>94.72</v>
          </cell>
          <cell r="H128">
            <v>120.29</v>
          </cell>
          <cell r="I128">
            <v>246.59</v>
          </cell>
        </row>
        <row r="129">
          <cell r="D129" t="str">
            <v>Espelho de cristal 4mm, com moldura de alumínio, acabamento em laminado, dim. 50 x 80cm</v>
          </cell>
          <cell r="E129" t="str">
            <v>un</v>
          </cell>
          <cell r="F129">
            <v>1</v>
          </cell>
          <cell r="G129">
            <v>114.15</v>
          </cell>
          <cell r="H129">
            <v>144.97</v>
          </cell>
          <cell r="I129">
            <v>144.97</v>
          </cell>
        </row>
        <row r="130">
          <cell r="D130" t="str">
            <v>Dispenser para sabonete líquido </v>
          </cell>
          <cell r="E130" t="str">
            <v>un</v>
          </cell>
          <cell r="F130">
            <v>1</v>
          </cell>
          <cell r="G130">
            <v>105.41</v>
          </cell>
          <cell r="H130">
            <v>133.87</v>
          </cell>
          <cell r="I130">
            <v>133.87</v>
          </cell>
        </row>
        <row r="131">
          <cell r="D131" t="str">
            <v>Dispenser para toalhas interfolhadas, Prolim, linha Toilet Plus ref 04305 ou similar </v>
          </cell>
          <cell r="E131" t="str">
            <v>un</v>
          </cell>
          <cell r="F131">
            <v>1</v>
          </cell>
          <cell r="G131">
            <v>85.56</v>
          </cell>
          <cell r="H131">
            <v>108.66</v>
          </cell>
          <cell r="I131">
            <v>108.66</v>
          </cell>
        </row>
        <row r="132">
          <cell r="D132" t="str">
            <v>Dispenser para higiêncos em rolos, Prolim, linha Toilet Plus ref 04340 ou similar</v>
          </cell>
          <cell r="E132" t="str">
            <v>un</v>
          </cell>
          <cell r="F132">
            <v>1</v>
          </cell>
          <cell r="G132">
            <v>34.1</v>
          </cell>
          <cell r="H132">
            <v>43.31</v>
          </cell>
          <cell r="I132">
            <v>43.31</v>
          </cell>
        </row>
        <row r="133">
          <cell r="D133" t="str">
            <v>Limpeza final da obra</v>
          </cell>
          <cell r="E133" t="str">
            <v>m2</v>
          </cell>
          <cell r="F133">
            <v>223.84</v>
          </cell>
          <cell r="G133">
            <v>1.86</v>
          </cell>
          <cell r="H133">
            <v>2.36</v>
          </cell>
          <cell r="I133">
            <v>528.26</v>
          </cell>
        </row>
        <row r="135">
          <cell r="D135" t="str">
            <v>TOTAL SEM BDI - SERVIÇOS:</v>
          </cell>
          <cell r="H135">
            <v>105426.91</v>
          </cell>
        </row>
        <row r="136">
          <cell r="D136" t="str">
            <v>BDI = 27,00% - SERVIÇOS: </v>
          </cell>
          <cell r="H136">
            <v>28465.27</v>
          </cell>
        </row>
        <row r="137">
          <cell r="D137" t="str">
            <v>TOTAL SEM BDI - EQUIPAMENTOS:</v>
          </cell>
          <cell r="H137">
            <v>14762.59</v>
          </cell>
        </row>
        <row r="138">
          <cell r="D138" t="str">
            <v>BDI = 19,10% - EQUIPAMENTOS: </v>
          </cell>
          <cell r="H138">
            <v>2819.65</v>
          </cell>
        </row>
        <row r="139">
          <cell r="D139" t="str">
            <v>TOTAL DO ORÇAMENTO COM BDI (R$)</v>
          </cell>
          <cell r="H139">
            <v>151474.42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0"/>
  <sheetViews>
    <sheetView tabSelected="1" workbookViewId="0" topLeftCell="A21">
      <selection activeCell="D31" sqref="D31"/>
    </sheetView>
  </sheetViews>
  <sheetFormatPr defaultColWidth="9.140625" defaultRowHeight="12.75"/>
  <cols>
    <col min="2" max="2" width="13.57421875" style="0" customWidth="1"/>
    <col min="3" max="3" width="12.7109375" style="0" customWidth="1"/>
    <col min="4" max="4" width="61.8515625" style="0" customWidth="1"/>
    <col min="5" max="5" width="10.57421875" style="0" customWidth="1"/>
    <col min="6" max="6" width="12.28125" style="0" customWidth="1"/>
    <col min="7" max="7" width="15.28125" style="0" customWidth="1"/>
    <col min="8" max="8" width="16.140625" style="0" customWidth="1"/>
    <col min="9" max="9" width="20.57421875" style="0" customWidth="1"/>
    <col min="10" max="10" width="16.57421875" style="0" bestFit="1" customWidth="1"/>
    <col min="11" max="11" width="12.140625" style="0" customWidth="1"/>
    <col min="12" max="12" width="9.421875" style="0" bestFit="1" customWidth="1"/>
  </cols>
  <sheetData>
    <row r="1" ht="13.5" thickBot="1"/>
    <row r="2" spans="1:10" ht="12.75" customHeight="1" thickBot="1">
      <c r="A2" s="627" t="s">
        <v>668</v>
      </c>
      <c r="B2" s="628"/>
      <c r="C2" s="628"/>
      <c r="D2" s="628"/>
      <c r="E2" s="628"/>
      <c r="F2" s="628"/>
      <c r="G2" s="628"/>
      <c r="H2" s="628"/>
      <c r="I2" s="629"/>
      <c r="J2">
        <v>1.27</v>
      </c>
    </row>
    <row r="3" spans="1:9" ht="28.5">
      <c r="A3" s="402" t="s">
        <v>0</v>
      </c>
      <c r="B3" s="403" t="s">
        <v>543</v>
      </c>
      <c r="C3" s="404" t="s">
        <v>541</v>
      </c>
      <c r="D3" s="404" t="s">
        <v>669</v>
      </c>
      <c r="E3" s="404" t="s">
        <v>545</v>
      </c>
      <c r="F3" s="404" t="s">
        <v>670</v>
      </c>
      <c r="G3" s="404" t="s">
        <v>671</v>
      </c>
      <c r="H3" s="404" t="s">
        <v>672</v>
      </c>
      <c r="I3" s="405" t="s">
        <v>673</v>
      </c>
    </row>
    <row r="4" spans="1:9" ht="14.25">
      <c r="A4" s="326">
        <v>1</v>
      </c>
      <c r="B4" s="327" t="s">
        <v>674</v>
      </c>
      <c r="C4" s="328"/>
      <c r="D4" s="329"/>
      <c r="E4" s="330"/>
      <c r="F4" s="331"/>
      <c r="G4" s="331"/>
      <c r="H4" s="332"/>
      <c r="I4" s="333">
        <f>I5+I6</f>
        <v>18289.98</v>
      </c>
    </row>
    <row r="5" spans="1:9" ht="14.25">
      <c r="A5" s="412" t="s">
        <v>675</v>
      </c>
      <c r="B5" s="340" t="s">
        <v>676</v>
      </c>
      <c r="C5" s="406" t="s">
        <v>677</v>
      </c>
      <c r="D5" s="407" t="s">
        <v>678</v>
      </c>
      <c r="E5" s="408" t="s">
        <v>38</v>
      </c>
      <c r="F5" s="409">
        <v>1</v>
      </c>
      <c r="G5" s="410">
        <f>CPU!F8</f>
        <v>295.15999999999997</v>
      </c>
      <c r="H5" s="410">
        <f>G5*$J$2</f>
        <v>374.85319999999996</v>
      </c>
      <c r="I5" s="339">
        <f>ROUND(F5*H5,2)</f>
        <v>374.85</v>
      </c>
    </row>
    <row r="6" spans="1:9" ht="14.25">
      <c r="A6" s="412" t="s">
        <v>679</v>
      </c>
      <c r="B6" s="411" t="s">
        <v>967</v>
      </c>
      <c r="C6" s="335" t="s">
        <v>963</v>
      </c>
      <c r="D6" s="336" t="s">
        <v>40</v>
      </c>
      <c r="E6" s="337" t="s">
        <v>41</v>
      </c>
      <c r="F6" s="338">
        <v>4</v>
      </c>
      <c r="G6" s="338">
        <f>CPU!F30</f>
        <v>3526.6000000000004</v>
      </c>
      <c r="H6" s="410">
        <f aca="true" t="shared" si="0" ref="H6:H57">G6*$J$2</f>
        <v>4478.782</v>
      </c>
      <c r="I6" s="339">
        <f aca="true" t="shared" si="1" ref="I6">ROUND(F6*H6,2)</f>
        <v>17915.13</v>
      </c>
    </row>
    <row r="7" spans="1:9" ht="14.25">
      <c r="A7" s="323"/>
      <c r="B7" s="325"/>
      <c r="C7" s="325"/>
      <c r="D7" s="323"/>
      <c r="E7" s="323"/>
      <c r="F7" s="324"/>
      <c r="G7" s="324"/>
      <c r="H7" s="410">
        <f t="shared" si="0"/>
        <v>0</v>
      </c>
      <c r="I7" s="324"/>
    </row>
    <row r="8" spans="1:9" ht="14.25">
      <c r="A8" s="1" t="s">
        <v>8</v>
      </c>
      <c r="B8" s="1"/>
      <c r="C8" s="1"/>
      <c r="D8" s="2" t="s">
        <v>408</v>
      </c>
      <c r="E8" s="3"/>
      <c r="F8" s="4"/>
      <c r="G8" s="5"/>
      <c r="H8" s="410">
        <f t="shared" si="0"/>
        <v>0</v>
      </c>
      <c r="I8" s="6">
        <f>SUM(I9:I17)</f>
        <v>37775.62047604</v>
      </c>
    </row>
    <row r="9" spans="1:9" ht="14.25">
      <c r="A9" s="3" t="s">
        <v>47</v>
      </c>
      <c r="B9" s="3" t="s">
        <v>680</v>
      </c>
      <c r="C9" s="3" t="s">
        <v>680</v>
      </c>
      <c r="D9" s="7" t="s">
        <v>970</v>
      </c>
      <c r="E9" s="8" t="s">
        <v>38</v>
      </c>
      <c r="F9" s="9">
        <v>1</v>
      </c>
      <c r="G9" s="4">
        <f>CPU!F19</f>
        <v>11389.31</v>
      </c>
      <c r="H9" s="410">
        <f t="shared" si="0"/>
        <v>14464.4237</v>
      </c>
      <c r="I9" s="9">
        <f aca="true" t="shared" si="2" ref="I9:I17">F9*H9</f>
        <v>14464.4237</v>
      </c>
    </row>
    <row r="10" spans="1:9" ht="14.25">
      <c r="A10" s="3" t="s">
        <v>35</v>
      </c>
      <c r="B10" s="3" t="s">
        <v>418</v>
      </c>
      <c r="C10" s="3">
        <v>74209</v>
      </c>
      <c r="D10" s="7" t="s">
        <v>42</v>
      </c>
      <c r="E10" s="3" t="s">
        <v>4</v>
      </c>
      <c r="F10" s="9">
        <v>6</v>
      </c>
      <c r="G10" s="4">
        <v>271.02</v>
      </c>
      <c r="H10" s="410">
        <f t="shared" si="0"/>
        <v>344.1954</v>
      </c>
      <c r="I10" s="9">
        <f t="shared" si="2"/>
        <v>2065.1724</v>
      </c>
    </row>
    <row r="11" spans="1:9" ht="14.25">
      <c r="A11" s="3" t="s">
        <v>727</v>
      </c>
      <c r="B11" s="3" t="s">
        <v>418</v>
      </c>
      <c r="C11" s="3" t="s">
        <v>681</v>
      </c>
      <c r="D11" s="7" t="s">
        <v>6</v>
      </c>
      <c r="E11" s="3" t="s">
        <v>4</v>
      </c>
      <c r="F11" s="9">
        <f>8.81*14.32</f>
        <v>126.15920000000001</v>
      </c>
      <c r="G11" s="4">
        <v>4.96</v>
      </c>
      <c r="H11" s="410">
        <f t="shared" si="0"/>
        <v>6.2992</v>
      </c>
      <c r="I11" s="9">
        <f t="shared" si="2"/>
        <v>794.7020326400001</v>
      </c>
    </row>
    <row r="12" spans="1:9" ht="14.25">
      <c r="A12" s="3" t="s">
        <v>728</v>
      </c>
      <c r="B12" s="3" t="s">
        <v>418</v>
      </c>
      <c r="C12" s="3">
        <v>72224</v>
      </c>
      <c r="D12" s="10" t="s">
        <v>409</v>
      </c>
      <c r="E12" s="11" t="s">
        <v>4</v>
      </c>
      <c r="F12" s="12">
        <v>361.34</v>
      </c>
      <c r="G12" s="13">
        <v>7.81</v>
      </c>
      <c r="H12" s="410">
        <f t="shared" si="0"/>
        <v>9.9187</v>
      </c>
      <c r="I12" s="9">
        <f t="shared" si="2"/>
        <v>3584.0230579999998</v>
      </c>
    </row>
    <row r="13" spans="1:9" ht="14.25">
      <c r="A13" s="3" t="s">
        <v>729</v>
      </c>
      <c r="B13" s="3" t="s">
        <v>418</v>
      </c>
      <c r="C13" s="3">
        <v>73899</v>
      </c>
      <c r="D13" s="7" t="s">
        <v>682</v>
      </c>
      <c r="E13" s="3" t="s">
        <v>7</v>
      </c>
      <c r="F13" s="9">
        <f>167.4*0.14</f>
        <v>23.436000000000003</v>
      </c>
      <c r="G13" s="4">
        <v>58.69</v>
      </c>
      <c r="H13" s="410">
        <f t="shared" si="0"/>
        <v>74.5363</v>
      </c>
      <c r="I13" s="9">
        <f t="shared" si="2"/>
        <v>1746.8327268000003</v>
      </c>
    </row>
    <row r="14" spans="1:9" ht="14.25">
      <c r="A14" s="3" t="s">
        <v>730</v>
      </c>
      <c r="B14" s="3" t="s">
        <v>418</v>
      </c>
      <c r="C14" s="3" t="s">
        <v>440</v>
      </c>
      <c r="D14" s="7" t="s">
        <v>410</v>
      </c>
      <c r="E14" s="3" t="s">
        <v>399</v>
      </c>
      <c r="F14" s="9">
        <f>(3.4+6.2+6.2+1+3.2+3.6*2+4+1.9*2+1.4*2+6+4.8*2)*4</f>
        <v>213.6</v>
      </c>
      <c r="G14" s="4">
        <v>19.54</v>
      </c>
      <c r="H14" s="410">
        <f t="shared" si="0"/>
        <v>24.8158</v>
      </c>
      <c r="I14" s="9">
        <f t="shared" si="2"/>
        <v>5300.65488</v>
      </c>
    </row>
    <row r="15" spans="1:9" ht="14.25">
      <c r="A15" s="3"/>
      <c r="B15" s="3"/>
      <c r="C15" s="3"/>
      <c r="D15" s="7" t="s">
        <v>735</v>
      </c>
      <c r="E15" s="3" t="s">
        <v>399</v>
      </c>
      <c r="F15" s="9">
        <f>23.84+10.69+19.82+23.84+16.67+6.72+38.47+22.31+3.29*2+4.2+14.22+2.76</f>
        <v>190.12</v>
      </c>
      <c r="G15" s="4">
        <v>8.83</v>
      </c>
      <c r="H15" s="410">
        <f t="shared" si="0"/>
        <v>11.2141</v>
      </c>
      <c r="I15" s="9">
        <f t="shared" si="2"/>
        <v>2132.024692</v>
      </c>
    </row>
    <row r="16" spans="1:9" ht="14.25">
      <c r="A16" s="3"/>
      <c r="B16" s="3"/>
      <c r="C16" s="3">
        <v>73616</v>
      </c>
      <c r="D16" s="7" t="s">
        <v>736</v>
      </c>
      <c r="E16" s="3" t="s">
        <v>92</v>
      </c>
      <c r="F16" s="9">
        <f>1.8*14.7*0.07+136.71*0.07+12*1.8*0.07+3*10*0.07</f>
        <v>15.033900000000001</v>
      </c>
      <c r="G16" s="4">
        <v>192.2</v>
      </c>
      <c r="H16" s="410">
        <f t="shared" si="0"/>
        <v>244.094</v>
      </c>
      <c r="I16" s="9">
        <f t="shared" si="2"/>
        <v>3669.6847866000003</v>
      </c>
    </row>
    <row r="17" spans="1:9" ht="14.25">
      <c r="A17" s="3" t="s">
        <v>731</v>
      </c>
      <c r="B17" s="3"/>
      <c r="C17" s="3" t="s">
        <v>78</v>
      </c>
      <c r="D17" s="7" t="s">
        <v>43</v>
      </c>
      <c r="E17" s="3" t="s">
        <v>7</v>
      </c>
      <c r="F17" s="9">
        <f>F13*3</f>
        <v>70.308</v>
      </c>
      <c r="G17" s="4">
        <v>45</v>
      </c>
      <c r="H17" s="410">
        <f t="shared" si="0"/>
        <v>57.15</v>
      </c>
      <c r="I17" s="9">
        <f t="shared" si="2"/>
        <v>4018.1022000000003</v>
      </c>
    </row>
    <row r="18" spans="1:9" ht="14.25">
      <c r="A18" s="3" t="s">
        <v>732</v>
      </c>
      <c r="B18" s="3"/>
      <c r="C18" s="3"/>
      <c r="D18" s="7"/>
      <c r="E18" s="3"/>
      <c r="F18" s="9"/>
      <c r="G18" s="4"/>
      <c r="H18" s="410"/>
      <c r="I18" s="9"/>
    </row>
    <row r="19" spans="1:9" ht="14.25">
      <c r="A19" s="1" t="s">
        <v>9</v>
      </c>
      <c r="B19" s="1"/>
      <c r="C19" s="3"/>
      <c r="D19" s="2" t="s">
        <v>44</v>
      </c>
      <c r="E19" s="3"/>
      <c r="F19" s="9"/>
      <c r="G19" s="4"/>
      <c r="H19" s="410"/>
      <c r="I19" s="414">
        <f>I20+I21+I22</f>
        <v>34185.98988036</v>
      </c>
    </row>
    <row r="20" spans="1:9" ht="14.25">
      <c r="A20" s="3" t="s">
        <v>733</v>
      </c>
      <c r="B20" s="3" t="s">
        <v>419</v>
      </c>
      <c r="C20" s="413">
        <v>79517</v>
      </c>
      <c r="D20" s="14" t="s">
        <v>45</v>
      </c>
      <c r="E20" s="3" t="s">
        <v>7</v>
      </c>
      <c r="F20" s="9">
        <f>15*1.5*1.2*1.2</f>
        <v>32.4</v>
      </c>
      <c r="G20" s="4">
        <v>23.04</v>
      </c>
      <c r="H20" s="410">
        <f>G20*$J$2</f>
        <v>29.2608</v>
      </c>
      <c r="I20" s="9">
        <f>F20*H20</f>
        <v>948.0499199999999</v>
      </c>
    </row>
    <row r="21" spans="1:9" ht="14.25">
      <c r="A21" s="3" t="s">
        <v>10</v>
      </c>
      <c r="B21" s="3" t="s">
        <v>439</v>
      </c>
      <c r="C21" s="413" t="s">
        <v>968</v>
      </c>
      <c r="D21" s="14" t="s">
        <v>46</v>
      </c>
      <c r="E21" s="3" t="s">
        <v>7</v>
      </c>
      <c r="F21" s="9">
        <f>F11*0.5</f>
        <v>63.079600000000006</v>
      </c>
      <c r="G21" s="4">
        <f>CPU!F40</f>
        <v>105.09</v>
      </c>
      <c r="H21" s="410">
        <f>G21*$J$2</f>
        <v>133.4643</v>
      </c>
      <c r="I21" s="9">
        <f>F21*H21</f>
        <v>8418.874658280001</v>
      </c>
    </row>
    <row r="22" spans="1:9" ht="25.5">
      <c r="A22" s="3" t="s">
        <v>734</v>
      </c>
      <c r="B22" s="3" t="s">
        <v>683</v>
      </c>
      <c r="C22" s="3" t="s">
        <v>683</v>
      </c>
      <c r="D22" s="15" t="s">
        <v>48</v>
      </c>
      <c r="E22" s="3" t="s">
        <v>7</v>
      </c>
      <c r="F22" s="9">
        <f>F20*0.4+(6.8*2+14.3*2)*0.12*0.4</f>
        <v>14.985600000000002</v>
      </c>
      <c r="G22" s="4">
        <f>CPU!F120</f>
        <v>1304.09</v>
      </c>
      <c r="H22" s="410">
        <f>G22*$J$2</f>
        <v>1656.1942999999999</v>
      </c>
      <c r="I22" s="9">
        <f>F22*H22</f>
        <v>24819.065302080002</v>
      </c>
    </row>
    <row r="23" spans="1:9" ht="14.25">
      <c r="A23" s="3"/>
      <c r="B23" s="3"/>
      <c r="C23" s="3"/>
      <c r="D23" s="15"/>
      <c r="E23" s="3"/>
      <c r="F23" s="9"/>
      <c r="G23" s="4"/>
      <c r="H23" s="410">
        <f t="shared" si="0"/>
        <v>0</v>
      </c>
      <c r="I23" s="9"/>
    </row>
    <row r="24" spans="1:9" ht="14.25">
      <c r="A24" s="1" t="s">
        <v>11</v>
      </c>
      <c r="B24" s="1"/>
      <c r="C24" s="1"/>
      <c r="D24" s="2" t="s">
        <v>49</v>
      </c>
      <c r="E24" s="3"/>
      <c r="F24" s="9"/>
      <c r="G24" s="4"/>
      <c r="H24" s="410">
        <f t="shared" si="0"/>
        <v>0</v>
      </c>
      <c r="I24" s="6">
        <f>I25+I26</f>
        <v>36750.23968884898</v>
      </c>
    </row>
    <row r="25" spans="1:9" ht="14.25">
      <c r="A25" s="3" t="s">
        <v>12</v>
      </c>
      <c r="B25" s="3" t="s">
        <v>971</v>
      </c>
      <c r="C25" s="3" t="s">
        <v>684</v>
      </c>
      <c r="D25" s="15" t="s">
        <v>50</v>
      </c>
      <c r="E25" s="3" t="s">
        <v>4</v>
      </c>
      <c r="F25" s="9">
        <f>14.32*0.3+8.8*2*0.3+257.57</f>
        <v>267.146</v>
      </c>
      <c r="G25" s="4">
        <f>CPU!F205</f>
        <v>73.96373865</v>
      </c>
      <c r="H25" s="410">
        <f t="shared" si="0"/>
        <v>93.93394808549999</v>
      </c>
      <c r="I25" s="9">
        <f>F25*H25</f>
        <v>25094.07849524898</v>
      </c>
    </row>
    <row r="26" spans="1:9" ht="14.25">
      <c r="A26" s="3" t="s">
        <v>13</v>
      </c>
      <c r="B26" s="3" t="s">
        <v>964</v>
      </c>
      <c r="C26" s="3" t="s">
        <v>972</v>
      </c>
      <c r="D26" s="15" t="s">
        <v>51</v>
      </c>
      <c r="E26" s="3" t="s">
        <v>7</v>
      </c>
      <c r="F26" s="9">
        <f>8*15*0.15*0.2+14*6*0.2*0.1+8.8*4*0.2*0.1</f>
        <v>5.984</v>
      </c>
      <c r="G26" s="4">
        <f>CPU!F295</f>
        <v>1533.77</v>
      </c>
      <c r="H26" s="410">
        <f t="shared" si="0"/>
        <v>1947.8879</v>
      </c>
      <c r="I26" s="9">
        <f>F26*H26</f>
        <v>11656.161193599999</v>
      </c>
    </row>
    <row r="27" spans="1:9" ht="14.25">
      <c r="A27" s="3"/>
      <c r="B27" s="3"/>
      <c r="C27" s="3"/>
      <c r="D27" s="15"/>
      <c r="E27" s="3"/>
      <c r="F27" s="9"/>
      <c r="G27" s="17"/>
      <c r="H27" s="410">
        <f t="shared" si="0"/>
        <v>0</v>
      </c>
      <c r="I27" s="9"/>
    </row>
    <row r="28" spans="1:9" ht="14.25">
      <c r="A28" s="18" t="s">
        <v>14</v>
      </c>
      <c r="B28" s="18"/>
      <c r="C28" s="18"/>
      <c r="D28" s="2" t="s">
        <v>686</v>
      </c>
      <c r="E28" s="3"/>
      <c r="F28" s="9"/>
      <c r="G28" s="4"/>
      <c r="H28" s="410">
        <f t="shared" si="0"/>
        <v>0</v>
      </c>
      <c r="I28" s="6">
        <f>SUM(I29:I33)</f>
        <v>72982.85479600001</v>
      </c>
    </row>
    <row r="29" spans="1:9" ht="14.25">
      <c r="A29" s="18" t="s">
        <v>15</v>
      </c>
      <c r="B29" s="18" t="s">
        <v>419</v>
      </c>
      <c r="C29" s="316">
        <v>95241</v>
      </c>
      <c r="D29" s="2" t="s">
        <v>411</v>
      </c>
      <c r="E29" s="3" t="s">
        <v>399</v>
      </c>
      <c r="F29" s="9">
        <f>179.11</f>
        <v>179.11</v>
      </c>
      <c r="G29" s="4">
        <v>18.28</v>
      </c>
      <c r="H29" s="410">
        <f t="shared" si="0"/>
        <v>23.215600000000002</v>
      </c>
      <c r="I29" s="6">
        <f>F29*H29</f>
        <v>4158.146116000001</v>
      </c>
    </row>
    <row r="30" spans="1:9" ht="14.25">
      <c r="A30" s="18" t="s">
        <v>16</v>
      </c>
      <c r="B30" s="18" t="s">
        <v>419</v>
      </c>
      <c r="C30" s="316">
        <v>87630</v>
      </c>
      <c r="D30" s="2" t="s">
        <v>437</v>
      </c>
      <c r="E30" s="3" t="s">
        <v>399</v>
      </c>
      <c r="F30" s="9">
        <v>375.36</v>
      </c>
      <c r="G30" s="4">
        <v>26.27</v>
      </c>
      <c r="H30" s="410">
        <f t="shared" si="0"/>
        <v>33.3629</v>
      </c>
      <c r="I30" s="6">
        <f>F30*H30</f>
        <v>12523.098144000001</v>
      </c>
    </row>
    <row r="31" spans="1:9" ht="14.25">
      <c r="A31" s="19" t="s">
        <v>737</v>
      </c>
      <c r="B31" s="19" t="s">
        <v>419</v>
      </c>
      <c r="C31" s="315">
        <v>87262</v>
      </c>
      <c r="D31" s="14" t="s">
        <v>974</v>
      </c>
      <c r="E31" s="3" t="s">
        <v>4</v>
      </c>
      <c r="F31" s="9">
        <f>19.82+10.69+23.84+23.84+16.67+6.72+6.08+3.29+3.29+38.47+23.31+14.22+2.76+19.34+3.32+11.4+16.2+126.1+6</f>
        <v>375.36</v>
      </c>
      <c r="G31" s="4">
        <v>115.48</v>
      </c>
      <c r="H31" s="410">
        <f t="shared" si="0"/>
        <v>146.6596</v>
      </c>
      <c r="I31" s="6">
        <f>F31*H31</f>
        <v>55050.147456000006</v>
      </c>
    </row>
    <row r="32" spans="1:9" ht="14.25">
      <c r="A32" s="31" t="s">
        <v>738</v>
      </c>
      <c r="B32" s="31" t="s">
        <v>438</v>
      </c>
      <c r="C32" s="317">
        <v>87630</v>
      </c>
      <c r="D32" s="29" t="s">
        <v>445</v>
      </c>
      <c r="E32" s="11" t="s">
        <v>4</v>
      </c>
      <c r="F32" s="12">
        <f>6*2.8</f>
        <v>16.799999999999997</v>
      </c>
      <c r="G32" s="13">
        <v>26.27</v>
      </c>
      <c r="H32" s="410">
        <f t="shared" si="0"/>
        <v>33.3629</v>
      </c>
      <c r="I32" s="6">
        <f>F32*H32</f>
        <v>560.49672</v>
      </c>
    </row>
    <row r="33" spans="1:9" ht="25.5">
      <c r="A33" s="31" t="s">
        <v>739</v>
      </c>
      <c r="B33" s="31" t="s">
        <v>438</v>
      </c>
      <c r="C33" s="317">
        <v>87630</v>
      </c>
      <c r="D33" s="30" t="s">
        <v>62</v>
      </c>
      <c r="E33" s="11" t="s">
        <v>4</v>
      </c>
      <c r="F33" s="12">
        <f>1.7*12</f>
        <v>20.4</v>
      </c>
      <c r="G33" s="13">
        <v>26.67</v>
      </c>
      <c r="H33" s="410">
        <f t="shared" si="0"/>
        <v>33.870900000000006</v>
      </c>
      <c r="I33" s="6">
        <f>F33*H33</f>
        <v>690.9663600000001</v>
      </c>
    </row>
    <row r="34" spans="1:9" ht="14.25">
      <c r="A34" s="19"/>
      <c r="B34" s="19"/>
      <c r="C34" s="315"/>
      <c r="D34" s="20"/>
      <c r="E34" s="3"/>
      <c r="F34" s="9"/>
      <c r="G34" s="4"/>
      <c r="H34" s="410">
        <f t="shared" si="0"/>
        <v>0</v>
      </c>
      <c r="I34" s="9"/>
    </row>
    <row r="35" spans="1:9" ht="14.25">
      <c r="A35" s="1" t="s">
        <v>17</v>
      </c>
      <c r="B35" s="1"/>
      <c r="C35" s="3"/>
      <c r="D35" s="2" t="s">
        <v>29</v>
      </c>
      <c r="E35" s="3"/>
      <c r="F35" s="9"/>
      <c r="G35" s="4"/>
      <c r="H35" s="410">
        <f t="shared" si="0"/>
        <v>0</v>
      </c>
      <c r="I35" s="6">
        <f>SUM(I36:I39)</f>
        <v>23803.486454399997</v>
      </c>
    </row>
    <row r="36" spans="1:9" ht="14.25">
      <c r="A36" s="3" t="s">
        <v>18</v>
      </c>
      <c r="B36" s="3" t="s">
        <v>419</v>
      </c>
      <c r="C36" s="3">
        <v>87905</v>
      </c>
      <c r="D36" s="20" t="s">
        <v>52</v>
      </c>
      <c r="E36" s="3" t="s">
        <v>4</v>
      </c>
      <c r="F36" s="9">
        <f>2*F25</f>
        <v>534.292</v>
      </c>
      <c r="G36" s="4">
        <v>5.68</v>
      </c>
      <c r="H36" s="410">
        <f t="shared" si="0"/>
        <v>7.2136</v>
      </c>
      <c r="I36" s="9">
        <f>F36*H36</f>
        <v>3854.1687712</v>
      </c>
    </row>
    <row r="37" spans="1:10" ht="25.5">
      <c r="A37" s="3" t="s">
        <v>741</v>
      </c>
      <c r="B37" s="3" t="s">
        <v>419</v>
      </c>
      <c r="C37" s="3">
        <v>87529</v>
      </c>
      <c r="D37" s="20" t="s">
        <v>434</v>
      </c>
      <c r="E37" s="3" t="s">
        <v>4</v>
      </c>
      <c r="F37" s="9">
        <f>F36-F38</f>
        <v>320.692</v>
      </c>
      <c r="G37" s="4">
        <v>20.08</v>
      </c>
      <c r="H37" s="410">
        <f t="shared" si="0"/>
        <v>25.5016</v>
      </c>
      <c r="I37" s="9">
        <f>F37*H37</f>
        <v>8178.1591072</v>
      </c>
      <c r="J37" s="319"/>
    </row>
    <row r="38" spans="1:9" ht="14.25">
      <c r="A38" s="3" t="s">
        <v>742</v>
      </c>
      <c r="B38" s="3" t="s">
        <v>419</v>
      </c>
      <c r="C38" s="3">
        <v>87528</v>
      </c>
      <c r="D38" s="20" t="s">
        <v>435</v>
      </c>
      <c r="E38" s="314" t="s">
        <v>399</v>
      </c>
      <c r="F38" s="9">
        <v>213.6</v>
      </c>
      <c r="G38" s="4">
        <v>25.32</v>
      </c>
      <c r="H38" s="410">
        <f t="shared" si="0"/>
        <v>32.1564</v>
      </c>
      <c r="I38" s="9">
        <f>F38*H38</f>
        <v>6868.607039999999</v>
      </c>
    </row>
    <row r="39" spans="1:9" ht="25.5">
      <c r="A39" s="3" t="s">
        <v>743</v>
      </c>
      <c r="B39" s="3" t="s">
        <v>419</v>
      </c>
      <c r="C39" s="3">
        <v>87272</v>
      </c>
      <c r="D39" s="20" t="s">
        <v>436</v>
      </c>
      <c r="E39" s="314" t="s">
        <v>399</v>
      </c>
      <c r="F39" s="9">
        <f>4.8*2.8*2+4*2.8+2.95*2*3+4.95*2*3</f>
        <v>85.48</v>
      </c>
      <c r="G39" s="4">
        <v>45.16</v>
      </c>
      <c r="H39" s="410">
        <f t="shared" si="0"/>
        <v>57.353199999999994</v>
      </c>
      <c r="I39" s="9">
        <f>F39*H39</f>
        <v>4902.551536</v>
      </c>
    </row>
    <row r="40" spans="1:9" ht="14.25">
      <c r="A40" s="3"/>
      <c r="B40" s="3"/>
      <c r="C40" s="3"/>
      <c r="D40" s="20"/>
      <c r="E40" s="314"/>
      <c r="F40" s="9"/>
      <c r="G40" s="4"/>
      <c r="H40" s="410">
        <f t="shared" si="0"/>
        <v>0</v>
      </c>
      <c r="I40" s="9"/>
    </row>
    <row r="41" spans="1:9" ht="14.25">
      <c r="A41" s="1" t="s">
        <v>19</v>
      </c>
      <c r="B41" s="1"/>
      <c r="C41" s="1"/>
      <c r="D41" s="2" t="s">
        <v>53</v>
      </c>
      <c r="E41" s="3"/>
      <c r="F41" s="9"/>
      <c r="G41" s="4"/>
      <c r="H41" s="410">
        <f t="shared" si="0"/>
        <v>0</v>
      </c>
      <c r="I41" s="6">
        <f>SUM(I42:I46)</f>
        <v>25677.569803000002</v>
      </c>
    </row>
    <row r="42" spans="1:9" ht="24">
      <c r="A42" s="3" t="s">
        <v>20</v>
      </c>
      <c r="B42" s="320" t="s">
        <v>419</v>
      </c>
      <c r="C42" s="602" t="s">
        <v>465</v>
      </c>
      <c r="D42" s="603" t="s">
        <v>466</v>
      </c>
      <c r="E42" s="602" t="s">
        <v>375</v>
      </c>
      <c r="F42" s="9">
        <v>7</v>
      </c>
      <c r="G42" s="617">
        <v>2111.57</v>
      </c>
      <c r="H42" s="410">
        <f t="shared" si="0"/>
        <v>2681.6939</v>
      </c>
      <c r="I42" s="9">
        <f>F42*H42</f>
        <v>18771.857300000003</v>
      </c>
    </row>
    <row r="43" spans="1:9" ht="36">
      <c r="A43" s="3" t="s">
        <v>64</v>
      </c>
      <c r="B43" s="320" t="s">
        <v>419</v>
      </c>
      <c r="C43" s="602" t="s">
        <v>463</v>
      </c>
      <c r="D43" s="603" t="s">
        <v>464</v>
      </c>
      <c r="E43" s="602" t="s">
        <v>378</v>
      </c>
      <c r="F43" s="9">
        <f>1*3+1.09</f>
        <v>4.09</v>
      </c>
      <c r="G43" s="21">
        <v>337.43</v>
      </c>
      <c r="H43" s="410">
        <f t="shared" si="0"/>
        <v>428.53610000000003</v>
      </c>
      <c r="I43" s="9">
        <f>F43*H43</f>
        <v>1752.712649</v>
      </c>
    </row>
    <row r="44" spans="1:9" ht="24.75" customHeight="1">
      <c r="A44" s="3" t="s">
        <v>452</v>
      </c>
      <c r="B44" s="320" t="s">
        <v>481</v>
      </c>
      <c r="C44" s="604">
        <v>1885</v>
      </c>
      <c r="D44" s="605" t="s">
        <v>717</v>
      </c>
      <c r="E44" s="606" t="s">
        <v>399</v>
      </c>
      <c r="F44" s="9">
        <f>2*1.8</f>
        <v>3.6</v>
      </c>
      <c r="G44" s="21">
        <v>316.23</v>
      </c>
      <c r="H44" s="410">
        <f t="shared" si="0"/>
        <v>401.61210000000005</v>
      </c>
      <c r="I44" s="9">
        <f>F44*H44</f>
        <v>1445.8035600000003</v>
      </c>
    </row>
    <row r="45" spans="1:9" ht="14.25">
      <c r="A45" s="3" t="s">
        <v>453</v>
      </c>
      <c r="B45" s="320" t="s">
        <v>481</v>
      </c>
      <c r="C45" s="439">
        <v>9635</v>
      </c>
      <c r="D45" s="420" t="s">
        <v>718</v>
      </c>
      <c r="E45" s="421" t="s">
        <v>399</v>
      </c>
      <c r="F45" s="9">
        <f>3*0.5*2</f>
        <v>3</v>
      </c>
      <c r="G45" s="21">
        <v>350.59</v>
      </c>
      <c r="H45" s="410">
        <f t="shared" si="0"/>
        <v>445.24929999999995</v>
      </c>
      <c r="I45" s="9">
        <f>F45*H45</f>
        <v>1335.7478999999998</v>
      </c>
    </row>
    <row r="46" spans="1:9" ht="21">
      <c r="A46" s="3"/>
      <c r="B46" s="320" t="s">
        <v>714</v>
      </c>
      <c r="C46" s="440">
        <v>8898</v>
      </c>
      <c r="D46" s="420" t="s">
        <v>966</v>
      </c>
      <c r="E46" s="421" t="s">
        <v>399</v>
      </c>
      <c r="F46" s="9">
        <v>4.41</v>
      </c>
      <c r="G46" s="21">
        <v>423.42</v>
      </c>
      <c r="H46" s="410">
        <f t="shared" si="0"/>
        <v>537.7434000000001</v>
      </c>
      <c r="I46" s="9">
        <f>F46*H46</f>
        <v>2371.4483940000005</v>
      </c>
    </row>
    <row r="47" spans="1:9" ht="14.25">
      <c r="A47" s="1" t="s">
        <v>21</v>
      </c>
      <c r="B47" s="1"/>
      <c r="C47" s="1"/>
      <c r="D47" s="2" t="s">
        <v>22</v>
      </c>
      <c r="E47" s="3"/>
      <c r="F47" s="9"/>
      <c r="G47" s="4"/>
      <c r="H47" s="410">
        <f t="shared" si="0"/>
        <v>0</v>
      </c>
      <c r="I47" s="6">
        <f>SUM(I48:I55)</f>
        <v>103617.64497917998</v>
      </c>
    </row>
    <row r="48" spans="1:9" ht="42">
      <c r="A48" s="318" t="s">
        <v>23</v>
      </c>
      <c r="B48" s="320" t="s">
        <v>419</v>
      </c>
      <c r="C48" s="421">
        <v>72111</v>
      </c>
      <c r="D48" s="420" t="s">
        <v>713</v>
      </c>
      <c r="E48" s="417" t="s">
        <v>399</v>
      </c>
      <c r="F48" s="9">
        <f>8.61*14.34</f>
        <v>123.46739999999998</v>
      </c>
      <c r="G48" s="4">
        <v>61.91</v>
      </c>
      <c r="H48" s="410">
        <f t="shared" si="0"/>
        <v>78.6257</v>
      </c>
      <c r="I48" s="6">
        <f aca="true" t="shared" si="3" ref="I48:I55">F48*H48</f>
        <v>9707.710752179999</v>
      </c>
    </row>
    <row r="49" spans="1:9" ht="14.25">
      <c r="A49" s="3" t="s">
        <v>24</v>
      </c>
      <c r="B49" s="3" t="s">
        <v>461</v>
      </c>
      <c r="C49" s="3" t="s">
        <v>687</v>
      </c>
      <c r="D49" s="16" t="s">
        <v>688</v>
      </c>
      <c r="E49" s="26" t="s">
        <v>4</v>
      </c>
      <c r="F49" s="27">
        <v>123.47</v>
      </c>
      <c r="G49" s="4">
        <v>112.03</v>
      </c>
      <c r="H49" s="410">
        <f t="shared" si="0"/>
        <v>142.2781</v>
      </c>
      <c r="I49" s="6">
        <f t="shared" si="3"/>
        <v>17567.077007</v>
      </c>
    </row>
    <row r="50" spans="1:9" ht="14.25">
      <c r="A50" s="3" t="s">
        <v>25</v>
      </c>
      <c r="B50" s="3" t="s">
        <v>418</v>
      </c>
      <c r="C50" s="3">
        <v>94450</v>
      </c>
      <c r="D50" s="16" t="s">
        <v>446</v>
      </c>
      <c r="E50" s="26" t="s">
        <v>63</v>
      </c>
      <c r="F50" s="27">
        <f>10.15*2+14.35</f>
        <v>34.65</v>
      </c>
      <c r="G50" s="4">
        <v>53.25</v>
      </c>
      <c r="H50" s="410">
        <f t="shared" si="0"/>
        <v>67.6275</v>
      </c>
      <c r="I50" s="6">
        <f t="shared" si="3"/>
        <v>2343.2928749999996</v>
      </c>
    </row>
    <row r="51" spans="1:9" ht="14.25">
      <c r="A51" s="3" t="s">
        <v>27</v>
      </c>
      <c r="B51" s="3" t="s">
        <v>418</v>
      </c>
      <c r="C51" s="3">
        <v>71623</v>
      </c>
      <c r="D51" s="16" t="s">
        <v>457</v>
      </c>
      <c r="E51" s="26" t="s">
        <v>63</v>
      </c>
      <c r="F51" s="27">
        <f>8.65*2+14.35*2</f>
        <v>46</v>
      </c>
      <c r="G51" s="4">
        <v>23.57</v>
      </c>
      <c r="H51" s="410">
        <f t="shared" si="0"/>
        <v>29.9339</v>
      </c>
      <c r="I51" s="6">
        <f t="shared" si="3"/>
        <v>1376.9594</v>
      </c>
    </row>
    <row r="52" spans="1:9" ht="14.25">
      <c r="A52" s="3" t="s">
        <v>36</v>
      </c>
      <c r="B52" s="3" t="s">
        <v>418</v>
      </c>
      <c r="C52" s="3">
        <v>94229</v>
      </c>
      <c r="D52" s="16" t="s">
        <v>447</v>
      </c>
      <c r="E52" s="26" t="s">
        <v>63</v>
      </c>
      <c r="F52" s="27">
        <f>2*14.35</f>
        <v>28.7</v>
      </c>
      <c r="G52" s="4">
        <v>85.45</v>
      </c>
      <c r="H52" s="410">
        <f t="shared" si="0"/>
        <v>108.5215</v>
      </c>
      <c r="I52" s="6">
        <f t="shared" si="3"/>
        <v>3114.56705</v>
      </c>
    </row>
    <row r="53" spans="1:11" ht="25.5">
      <c r="A53" s="3" t="s">
        <v>449</v>
      </c>
      <c r="B53" s="3" t="s">
        <v>458</v>
      </c>
      <c r="C53" s="3">
        <v>92539</v>
      </c>
      <c r="D53" s="7" t="s">
        <v>962</v>
      </c>
      <c r="E53" s="3" t="s">
        <v>399</v>
      </c>
      <c r="F53" s="9">
        <f>F54</f>
        <v>392.04</v>
      </c>
      <c r="G53" s="4">
        <f>76.85*0.7-12.1</f>
        <v>41.69499999999999</v>
      </c>
      <c r="H53" s="410">
        <f t="shared" si="0"/>
        <v>52.95264999999999</v>
      </c>
      <c r="I53" s="6">
        <f t="shared" si="3"/>
        <v>20759.556905999998</v>
      </c>
      <c r="K53">
        <f>4744.31/F53</f>
        <v>12.1015967758392</v>
      </c>
    </row>
    <row r="54" spans="1:9" ht="14.25">
      <c r="A54" s="3" t="s">
        <v>450</v>
      </c>
      <c r="B54" s="3" t="s">
        <v>454</v>
      </c>
      <c r="C54" s="3">
        <v>10820</v>
      </c>
      <c r="D54" s="7" t="s">
        <v>412</v>
      </c>
      <c r="E54" s="3" t="s">
        <v>399</v>
      </c>
      <c r="F54" s="9">
        <f>12.1*24*1.35</f>
        <v>392.04</v>
      </c>
      <c r="G54" s="4">
        <v>89.28</v>
      </c>
      <c r="H54" s="410">
        <f t="shared" si="0"/>
        <v>113.3856</v>
      </c>
      <c r="I54" s="6">
        <f t="shared" si="3"/>
        <v>44451.690624</v>
      </c>
    </row>
    <row r="55" spans="1:9" ht="48">
      <c r="A55" s="3" t="s">
        <v>451</v>
      </c>
      <c r="B55" s="320" t="s">
        <v>418</v>
      </c>
      <c r="C55" s="320" t="s">
        <v>455</v>
      </c>
      <c r="D55" s="321" t="s">
        <v>456</v>
      </c>
      <c r="E55" s="320" t="s">
        <v>378</v>
      </c>
      <c r="F55" s="9">
        <f>14.35*2*1.5</f>
        <v>43.05</v>
      </c>
      <c r="G55" s="4">
        <v>78.59</v>
      </c>
      <c r="H55" s="410">
        <f t="shared" si="0"/>
        <v>99.80930000000001</v>
      </c>
      <c r="I55" s="6">
        <f t="shared" si="3"/>
        <v>4296.790365</v>
      </c>
    </row>
    <row r="56" spans="1:9" ht="14.25">
      <c r="A56" s="3"/>
      <c r="B56" s="320"/>
      <c r="C56" s="320"/>
      <c r="D56" s="321"/>
      <c r="E56" s="320"/>
      <c r="F56" s="9"/>
      <c r="G56" s="4"/>
      <c r="H56" s="410">
        <f t="shared" si="0"/>
        <v>0</v>
      </c>
      <c r="I56" s="9"/>
    </row>
    <row r="57" spans="1:9" ht="14.25">
      <c r="A57" s="1" t="s">
        <v>28</v>
      </c>
      <c r="B57" s="1"/>
      <c r="C57" s="1"/>
      <c r="D57" s="2" t="s">
        <v>33</v>
      </c>
      <c r="E57" s="3"/>
      <c r="F57" s="9"/>
      <c r="G57" s="4"/>
      <c r="H57" s="410">
        <f t="shared" si="0"/>
        <v>0</v>
      </c>
      <c r="I57" s="6">
        <f>SUM(I58:I67)</f>
        <v>27716.47247392</v>
      </c>
    </row>
    <row r="58" spans="1:9" ht="14.25">
      <c r="A58" s="3" t="s">
        <v>30</v>
      </c>
      <c r="B58" s="3" t="s">
        <v>418</v>
      </c>
      <c r="C58" s="3">
        <v>88485</v>
      </c>
      <c r="D58" s="14" t="s">
        <v>413</v>
      </c>
      <c r="E58" s="3" t="s">
        <v>4</v>
      </c>
      <c r="F58" s="9">
        <f>18*5+24*5+4.2*6+5.9*6+4.75*6+8.1*6+12+5.4+4.7*6+5.1*6+3.5*6+3.2*3+7.2*3+4.5+12+24+30+2.7*6+24</f>
        <v>586.8000000000002</v>
      </c>
      <c r="G58" s="4">
        <v>1.55</v>
      </c>
      <c r="H58" s="410">
        <f aca="true" t="shared" si="4" ref="H58:H85">G58*$J$2</f>
        <v>1.9685000000000001</v>
      </c>
      <c r="I58" s="9">
        <f aca="true" t="shared" si="5" ref="I58:I64">F58*H58</f>
        <v>1155.1158000000005</v>
      </c>
    </row>
    <row r="59" spans="1:9" ht="14.25">
      <c r="A59" s="3" t="s">
        <v>31</v>
      </c>
      <c r="B59" s="3" t="s">
        <v>418</v>
      </c>
      <c r="C59" s="3">
        <v>88485</v>
      </c>
      <c r="D59" s="32" t="s">
        <v>414</v>
      </c>
      <c r="E59" s="3" t="s">
        <v>399</v>
      </c>
      <c r="F59" s="9">
        <f>18*5+24*5</f>
        <v>210</v>
      </c>
      <c r="G59" s="4">
        <v>1.55</v>
      </c>
      <c r="H59" s="410">
        <f t="shared" si="4"/>
        <v>1.9685000000000001</v>
      </c>
      <c r="I59" s="9">
        <f t="shared" si="5"/>
        <v>413.38500000000005</v>
      </c>
    </row>
    <row r="60" spans="1:9" ht="14.25">
      <c r="A60" s="3" t="s">
        <v>744</v>
      </c>
      <c r="B60" s="3" t="s">
        <v>418</v>
      </c>
      <c r="C60" s="3">
        <v>88485</v>
      </c>
      <c r="D60" s="32" t="s">
        <v>459</v>
      </c>
      <c r="E60" s="3" t="s">
        <v>399</v>
      </c>
      <c r="F60" s="9">
        <f>19.82+10.69+23.84+23.84+16.67+6.72+6.08+3.29+3.29+38.47+14.22+2.76+19.34+3.32+11.4+16.2</f>
        <v>219.95</v>
      </c>
      <c r="G60" s="4">
        <v>1.55</v>
      </c>
      <c r="H60" s="410">
        <f t="shared" si="4"/>
        <v>1.9685000000000001</v>
      </c>
      <c r="I60" s="9">
        <f t="shared" si="5"/>
        <v>432.97157500000003</v>
      </c>
    </row>
    <row r="61" spans="1:9" ht="14.25">
      <c r="A61" s="3" t="s">
        <v>61</v>
      </c>
      <c r="B61" s="3" t="s">
        <v>418</v>
      </c>
      <c r="C61" s="3">
        <v>88497</v>
      </c>
      <c r="D61" s="32" t="s">
        <v>460</v>
      </c>
      <c r="E61" s="3" t="s">
        <v>399</v>
      </c>
      <c r="F61" s="9">
        <f>F60</f>
        <v>219.95</v>
      </c>
      <c r="G61" s="4">
        <v>8.56</v>
      </c>
      <c r="H61" s="410">
        <f t="shared" si="4"/>
        <v>10.8712</v>
      </c>
      <c r="I61" s="9">
        <f t="shared" si="5"/>
        <v>2391.1204399999997</v>
      </c>
    </row>
    <row r="62" spans="1:9" ht="14.25">
      <c r="A62" s="3" t="s">
        <v>745</v>
      </c>
      <c r="B62" s="3" t="s">
        <v>418</v>
      </c>
      <c r="C62" s="3">
        <v>88497</v>
      </c>
      <c r="D62" s="32" t="s">
        <v>415</v>
      </c>
      <c r="E62" s="3" t="s">
        <v>399</v>
      </c>
      <c r="F62" s="9">
        <f>F58</f>
        <v>586.8000000000002</v>
      </c>
      <c r="G62" s="4">
        <v>8.56</v>
      </c>
      <c r="H62" s="410">
        <f t="shared" si="4"/>
        <v>10.8712</v>
      </c>
      <c r="I62" s="9">
        <f t="shared" si="5"/>
        <v>6379.220160000002</v>
      </c>
    </row>
    <row r="63" spans="1:9" ht="14.25">
      <c r="A63" s="3" t="s">
        <v>746</v>
      </c>
      <c r="B63" s="3" t="s">
        <v>418</v>
      </c>
      <c r="C63" s="3">
        <v>88489</v>
      </c>
      <c r="D63" s="32" t="s">
        <v>433</v>
      </c>
      <c r="E63" s="3" t="s">
        <v>399</v>
      </c>
      <c r="F63" s="9">
        <f>F58</f>
        <v>586.8000000000002</v>
      </c>
      <c r="G63" s="4">
        <v>9.18</v>
      </c>
      <c r="H63" s="410">
        <f t="shared" si="4"/>
        <v>11.6586</v>
      </c>
      <c r="I63" s="9">
        <f t="shared" si="5"/>
        <v>6841.266480000002</v>
      </c>
    </row>
    <row r="64" spans="1:9" ht="14.25">
      <c r="A64" s="3" t="s">
        <v>747</v>
      </c>
      <c r="B64" s="3" t="s">
        <v>418</v>
      </c>
      <c r="C64" s="3">
        <v>88489</v>
      </c>
      <c r="D64" s="32" t="s">
        <v>448</v>
      </c>
      <c r="E64" s="314" t="s">
        <v>399</v>
      </c>
      <c r="F64" s="9">
        <v>346.45</v>
      </c>
      <c r="G64" s="4">
        <v>10.37</v>
      </c>
      <c r="H64" s="410">
        <f t="shared" si="4"/>
        <v>13.169899999999998</v>
      </c>
      <c r="I64" s="9">
        <f t="shared" si="5"/>
        <v>4562.711855</v>
      </c>
    </row>
    <row r="65" spans="1:11" ht="14.25">
      <c r="A65" s="3" t="s">
        <v>748</v>
      </c>
      <c r="B65" s="3" t="s">
        <v>418</v>
      </c>
      <c r="C65" s="3">
        <v>88423</v>
      </c>
      <c r="D65" s="15" t="s">
        <v>56</v>
      </c>
      <c r="E65" s="3" t="s">
        <v>4</v>
      </c>
      <c r="F65" s="9">
        <f>F59+0.76</f>
        <v>210.76</v>
      </c>
      <c r="G65" s="4">
        <v>12.92</v>
      </c>
      <c r="H65" s="410">
        <f t="shared" si="4"/>
        <v>16.4084</v>
      </c>
      <c r="I65" s="9">
        <f>F65*H65-0.03</f>
        <v>3458.2043839999997</v>
      </c>
      <c r="K65">
        <f>L86/12.92</f>
        <v>-6.486012921322474E-05</v>
      </c>
    </row>
    <row r="66" spans="1:9" ht="14.25">
      <c r="A66" s="3" t="s">
        <v>749</v>
      </c>
      <c r="B66" s="3" t="s">
        <v>418</v>
      </c>
      <c r="C66" s="3">
        <v>74064</v>
      </c>
      <c r="D66" s="20" t="s">
        <v>57</v>
      </c>
      <c r="E66" s="3" t="s">
        <v>4</v>
      </c>
      <c r="F66" s="9">
        <f>8.8*0.5*2.5*6+2.1*2.1*2</f>
        <v>74.82</v>
      </c>
      <c r="G66" s="4">
        <v>14.35</v>
      </c>
      <c r="H66" s="410">
        <f t="shared" si="4"/>
        <v>18.2245</v>
      </c>
      <c r="I66" s="9">
        <f>F66*H66</f>
        <v>1363.5570899999998</v>
      </c>
    </row>
    <row r="67" spans="1:9" ht="14.25">
      <c r="A67" s="3" t="s">
        <v>750</v>
      </c>
      <c r="B67" s="3" t="s">
        <v>418</v>
      </c>
      <c r="C67" s="3" t="s">
        <v>432</v>
      </c>
      <c r="D67" s="15" t="s">
        <v>416</v>
      </c>
      <c r="E67" s="3" t="s">
        <v>4</v>
      </c>
      <c r="F67" s="9">
        <f>0.8*2.1*2*8+0.25*2*8*2.1+0.25*0.8*8</f>
        <v>36.88</v>
      </c>
      <c r="G67" s="4">
        <f>CPU!F966</f>
        <v>15.3492</v>
      </c>
      <c r="H67" s="410">
        <f t="shared" si="4"/>
        <v>19.493484</v>
      </c>
      <c r="I67" s="9">
        <f>F67*H67</f>
        <v>718.91968992</v>
      </c>
    </row>
    <row r="68" spans="1:9" ht="14.25">
      <c r="A68" s="3"/>
      <c r="B68" s="3"/>
      <c r="C68" s="3"/>
      <c r="D68" s="15"/>
      <c r="E68" s="3"/>
      <c r="F68" s="9"/>
      <c r="G68" s="4"/>
      <c r="H68" s="410"/>
      <c r="I68" s="9"/>
    </row>
    <row r="69" spans="1:9" ht="14.25">
      <c r="A69" s="1" t="s">
        <v>32</v>
      </c>
      <c r="B69" s="1"/>
      <c r="C69" s="1"/>
      <c r="D69" s="22" t="s">
        <v>59</v>
      </c>
      <c r="E69" s="3"/>
      <c r="F69" s="9"/>
      <c r="G69" s="4"/>
      <c r="H69" s="410">
        <f t="shared" si="4"/>
        <v>0</v>
      </c>
      <c r="I69" s="6">
        <f>SUM(I70:I76)</f>
        <v>94019.839392</v>
      </c>
    </row>
    <row r="70" spans="1:9" ht="14.25">
      <c r="A70" s="3" t="s">
        <v>720</v>
      </c>
      <c r="B70" s="3" t="s">
        <v>461</v>
      </c>
      <c r="C70" s="3" t="s">
        <v>462</v>
      </c>
      <c r="D70" s="16" t="s">
        <v>60</v>
      </c>
      <c r="E70" s="3" t="s">
        <v>26</v>
      </c>
      <c r="F70" s="9">
        <v>2.3</v>
      </c>
      <c r="G70" s="4">
        <v>250.48</v>
      </c>
      <c r="H70" s="410">
        <f t="shared" si="4"/>
        <v>318.1096</v>
      </c>
      <c r="I70" s="9">
        <f aca="true" t="shared" si="6" ref="I70:I76">F70*H70</f>
        <v>731.65208</v>
      </c>
    </row>
    <row r="71" spans="1:9" ht="14.25">
      <c r="A71" s="3" t="s">
        <v>721</v>
      </c>
      <c r="B71" s="3" t="s">
        <v>418</v>
      </c>
      <c r="C71" s="3">
        <v>9537</v>
      </c>
      <c r="D71" s="14" t="s">
        <v>417</v>
      </c>
      <c r="E71" s="3" t="s">
        <v>4</v>
      </c>
      <c r="F71" s="9">
        <f>220+126.45</f>
        <v>346.45</v>
      </c>
      <c r="G71" s="4">
        <v>1.97</v>
      </c>
      <c r="H71" s="410">
        <f t="shared" si="4"/>
        <v>2.5019</v>
      </c>
      <c r="I71" s="9">
        <f t="shared" si="6"/>
        <v>866.7832549999999</v>
      </c>
    </row>
    <row r="72" spans="1:9" ht="14.25">
      <c r="A72" s="3" t="s">
        <v>722</v>
      </c>
      <c r="B72" s="3" t="s">
        <v>481</v>
      </c>
      <c r="C72" s="421">
        <v>7702</v>
      </c>
      <c r="D72" s="420" t="s">
        <v>961</v>
      </c>
      <c r="E72" s="3" t="s">
        <v>399</v>
      </c>
      <c r="F72" s="9">
        <v>219.95</v>
      </c>
      <c r="G72" s="4">
        <v>77.21</v>
      </c>
      <c r="H72" s="410">
        <f t="shared" si="4"/>
        <v>98.05669999999999</v>
      </c>
      <c r="I72" s="9">
        <f t="shared" si="6"/>
        <v>21567.571164999998</v>
      </c>
    </row>
    <row r="73" spans="1:9" ht="21">
      <c r="A73" s="3" t="s">
        <v>723</v>
      </c>
      <c r="B73" s="3" t="s">
        <v>714</v>
      </c>
      <c r="C73" s="420" t="s">
        <v>711</v>
      </c>
      <c r="D73" s="420" t="s">
        <v>712</v>
      </c>
      <c r="E73" s="421" t="s">
        <v>399</v>
      </c>
      <c r="F73" s="428">
        <v>126.6</v>
      </c>
      <c r="G73" s="428">
        <v>202.45</v>
      </c>
      <c r="H73" s="410">
        <f>G73*1.27</f>
        <v>257.1115</v>
      </c>
      <c r="I73" s="9">
        <f t="shared" si="6"/>
        <v>32550.315899999994</v>
      </c>
    </row>
    <row r="74" spans="1:9" ht="14.25">
      <c r="A74" s="3" t="s">
        <v>724</v>
      </c>
      <c r="B74" s="433" t="s">
        <v>714</v>
      </c>
      <c r="C74" s="435">
        <v>10787</v>
      </c>
      <c r="D74" s="434" t="s">
        <v>715</v>
      </c>
      <c r="E74" s="435" t="s">
        <v>399</v>
      </c>
      <c r="F74" s="436">
        <f>(14.32*2*3+8.61*2*3)</f>
        <v>137.57999999999998</v>
      </c>
      <c r="G74" s="618">
        <v>160</v>
      </c>
      <c r="H74" s="437">
        <f>G74*1.27</f>
        <v>203.2</v>
      </c>
      <c r="I74" s="9">
        <f t="shared" si="6"/>
        <v>27956.255999999994</v>
      </c>
    </row>
    <row r="75" spans="1:9" ht="14.25">
      <c r="A75" s="3" t="s">
        <v>725</v>
      </c>
      <c r="B75" s="429" t="s">
        <v>84</v>
      </c>
      <c r="C75" s="430" t="s">
        <v>78</v>
      </c>
      <c r="D75" s="430" t="s">
        <v>740</v>
      </c>
      <c r="E75" s="431" t="s">
        <v>399</v>
      </c>
      <c r="F75" s="432">
        <v>3.2</v>
      </c>
      <c r="G75" s="619">
        <v>650</v>
      </c>
      <c r="H75" s="437">
        <f>G75*1.27</f>
        <v>825.5</v>
      </c>
      <c r="I75" s="9">
        <f t="shared" si="6"/>
        <v>2641.6000000000004</v>
      </c>
    </row>
    <row r="76" spans="1:9" ht="21">
      <c r="A76" s="3"/>
      <c r="B76" s="433" t="s">
        <v>481</v>
      </c>
      <c r="C76" s="435">
        <v>507</v>
      </c>
      <c r="D76" s="434" t="s">
        <v>909</v>
      </c>
      <c r="E76" s="435" t="s">
        <v>399</v>
      </c>
      <c r="F76" s="436">
        <f>5.8*3.4</f>
        <v>19.72</v>
      </c>
      <c r="G76" s="436">
        <v>307.68</v>
      </c>
      <c r="H76" s="437">
        <f>G76*1.27</f>
        <v>390.7536</v>
      </c>
      <c r="I76" s="9">
        <f t="shared" si="6"/>
        <v>7705.660992</v>
      </c>
    </row>
    <row r="77" spans="1:9" ht="14.25">
      <c r="A77" s="3"/>
      <c r="B77" s="433"/>
      <c r="C77" s="434"/>
      <c r="D77" s="434"/>
      <c r="E77" s="435"/>
      <c r="F77" s="436"/>
      <c r="G77" s="436"/>
      <c r="H77" s="437"/>
      <c r="I77" s="438"/>
    </row>
    <row r="78" spans="1:9" ht="14.25">
      <c r="A78" s="3" t="s">
        <v>771</v>
      </c>
      <c r="B78" s="429"/>
      <c r="C78" s="430"/>
      <c r="D78" s="615" t="s">
        <v>716</v>
      </c>
      <c r="E78" s="431"/>
      <c r="F78" s="432"/>
      <c r="G78" s="432"/>
      <c r="H78" s="410"/>
      <c r="I78" s="427">
        <f>SUM(I79:I85)</f>
        <v>68095.43099200001</v>
      </c>
    </row>
    <row r="79" spans="1:9" ht="14.25">
      <c r="A79" s="23" t="s">
        <v>772</v>
      </c>
      <c r="B79" s="422" t="s">
        <v>973</v>
      </c>
      <c r="C79" s="422"/>
      <c r="D79" s="423" t="s">
        <v>691</v>
      </c>
      <c r="E79" s="424" t="s">
        <v>34</v>
      </c>
      <c r="F79" s="425">
        <v>1</v>
      </c>
      <c r="G79" s="426">
        <f>'SOM E CITV'!H1</f>
        <v>9151.599999999999</v>
      </c>
      <c r="H79" s="410">
        <f t="shared" si="4"/>
        <v>11622.531999999997</v>
      </c>
      <c r="I79" s="427">
        <f>F79*H79</f>
        <v>11622.531999999997</v>
      </c>
    </row>
    <row r="80" spans="1:9" ht="14.25">
      <c r="A80" s="23" t="s">
        <v>773</v>
      </c>
      <c r="B80" s="23" t="s">
        <v>973</v>
      </c>
      <c r="C80" s="23"/>
      <c r="D80" s="24" t="s">
        <v>65</v>
      </c>
      <c r="E80" s="1" t="s">
        <v>34</v>
      </c>
      <c r="F80" s="9">
        <v>1</v>
      </c>
      <c r="G80" s="25">
        <f>ELETRICA!G33</f>
        <v>26918.070000000003</v>
      </c>
      <c r="H80" s="410">
        <f t="shared" si="4"/>
        <v>34185.9489</v>
      </c>
      <c r="I80" s="6">
        <f>F80*H80</f>
        <v>34185.9489</v>
      </c>
    </row>
    <row r="81" spans="1:9" ht="14.25">
      <c r="A81" s="1" t="s">
        <v>774</v>
      </c>
      <c r="B81" s="1" t="s">
        <v>973</v>
      </c>
      <c r="C81" s="1"/>
      <c r="D81" s="2" t="s">
        <v>66</v>
      </c>
      <c r="E81" s="1" t="s">
        <v>34</v>
      </c>
      <c r="F81" s="9">
        <v>1</v>
      </c>
      <c r="G81" s="25">
        <f>'HIDRAULICA.'!H1</f>
        <v>5622.07</v>
      </c>
      <c r="H81" s="410">
        <f t="shared" si="4"/>
        <v>7140.028899999999</v>
      </c>
      <c r="I81" s="6">
        <f aca="true" t="shared" si="7" ref="I81:I85">F81*H81</f>
        <v>7140.028899999999</v>
      </c>
    </row>
    <row r="82" spans="1:9" ht="14.25">
      <c r="A82" s="1" t="s">
        <v>775</v>
      </c>
      <c r="B82" s="1" t="s">
        <v>973</v>
      </c>
      <c r="C82" s="1"/>
      <c r="D82" s="2" t="s">
        <v>67</v>
      </c>
      <c r="E82" s="1" t="s">
        <v>34</v>
      </c>
      <c r="F82" s="9">
        <v>1</v>
      </c>
      <c r="G82" s="25">
        <f>SANITÁRIA!H5</f>
        <v>1758.3696000000002</v>
      </c>
      <c r="H82" s="410">
        <f t="shared" si="4"/>
        <v>2233.1293920000003</v>
      </c>
      <c r="I82" s="6">
        <f t="shared" si="7"/>
        <v>2233.1293920000003</v>
      </c>
    </row>
    <row r="83" spans="1:9" ht="14.25">
      <c r="A83" s="318" t="s">
        <v>776</v>
      </c>
      <c r="B83" s="318" t="s">
        <v>973</v>
      </c>
      <c r="C83" s="318"/>
      <c r="D83" s="2" t="s">
        <v>696</v>
      </c>
      <c r="E83" s="318" t="s">
        <v>34</v>
      </c>
      <c r="F83" s="9">
        <v>1</v>
      </c>
      <c r="G83" s="25">
        <f>DRENAGEM!H1</f>
        <v>1380.49</v>
      </c>
      <c r="H83" s="410">
        <f t="shared" si="4"/>
        <v>1753.2223000000001</v>
      </c>
      <c r="I83" s="6">
        <f t="shared" si="7"/>
        <v>1753.2223000000001</v>
      </c>
    </row>
    <row r="84" spans="1:9" ht="14.25">
      <c r="A84" s="318"/>
      <c r="B84" s="318" t="s">
        <v>973</v>
      </c>
      <c r="C84" s="318"/>
      <c r="D84" s="2" t="s">
        <v>911</v>
      </c>
      <c r="E84" s="318" t="s">
        <v>545</v>
      </c>
      <c r="F84" s="9">
        <v>1</v>
      </c>
      <c r="G84" s="25">
        <f>SPDA!F15</f>
        <v>6570.05</v>
      </c>
      <c r="H84" s="410">
        <f t="shared" si="4"/>
        <v>8343.9635</v>
      </c>
      <c r="I84" s="6">
        <f t="shared" si="7"/>
        <v>8343.9635</v>
      </c>
    </row>
    <row r="85" spans="1:9" ht="14.25">
      <c r="A85" s="3" t="s">
        <v>777</v>
      </c>
      <c r="B85" s="3" t="s">
        <v>973</v>
      </c>
      <c r="C85" s="3"/>
      <c r="D85" s="14" t="s">
        <v>692</v>
      </c>
      <c r="E85" s="3" t="s">
        <v>34</v>
      </c>
      <c r="F85" s="9">
        <v>1</v>
      </c>
      <c r="G85" s="4">
        <f>INCENDIO!H1</f>
        <v>2217.8</v>
      </c>
      <c r="H85" s="410">
        <f t="shared" si="4"/>
        <v>2816.606</v>
      </c>
      <c r="I85" s="6">
        <f t="shared" si="7"/>
        <v>2816.606</v>
      </c>
    </row>
    <row r="86" spans="1:12" ht="14.25">
      <c r="A86" s="3"/>
      <c r="B86" s="3"/>
      <c r="C86" s="3"/>
      <c r="D86" s="14" t="s">
        <v>959</v>
      </c>
      <c r="E86" s="3"/>
      <c r="F86" s="9"/>
      <c r="G86" s="4"/>
      <c r="H86" s="410"/>
      <c r="I86" s="9">
        <f>SUM(I4:I85)/2+0.02</f>
        <v>542915.1489357491</v>
      </c>
      <c r="J86" s="319">
        <v>542915.15</v>
      </c>
      <c r="K86" s="557">
        <f>I86-J86</f>
        <v>-0.0010642509441822767</v>
      </c>
      <c r="L86">
        <f>K86/1.27</f>
        <v>-0.0008379928694348636</v>
      </c>
    </row>
    <row r="87" ht="12.75">
      <c r="I87" s="322"/>
    </row>
    <row r="88" ht="12.75">
      <c r="I88" s="322"/>
    </row>
    <row r="89" spans="7:10" ht="12.75">
      <c r="G89" s="557"/>
      <c r="H89" s="590"/>
      <c r="I89" s="322"/>
      <c r="J89" s="607"/>
    </row>
    <row r="90" ht="12.75">
      <c r="I90" s="322"/>
    </row>
  </sheetData>
  <mergeCells count="1">
    <mergeCell ref="A2:I2"/>
  </mergeCells>
  <conditionalFormatting sqref="B55:E56 B44:B46">
    <cfRule type="expression" priority="15" dxfId="101" stopIfTrue="1">
      <formula>AND($A44&lt;&gt;"COMPOSICAO",$A44&lt;&gt;"INSUMO",$A44&lt;&gt;"")</formula>
    </cfRule>
    <cfRule type="expression" priority="16" dxfId="100" stopIfTrue="1">
      <formula>AND(OR($A44="COMPOSICAO",$A44="INSUMO",$A44&lt;&gt;""),$A44&lt;&gt;"")</formula>
    </cfRule>
  </conditionalFormatting>
  <conditionalFormatting sqref="E43:E44">
    <cfRule type="expression" priority="9" dxfId="101" stopIfTrue="1">
      <formula>AND($A43&lt;&gt;"COMPOSICAO",$A43&lt;&gt;"INSUMO",$A43&lt;&gt;"")</formula>
    </cfRule>
    <cfRule type="expression" priority="10" dxfId="100" stopIfTrue="1">
      <formula>AND(OR($A43="COMPOSICAO",$A43="INSUMO",$A43&lt;&gt;""),$A43&lt;&gt;"")</formula>
    </cfRule>
  </conditionalFormatting>
  <conditionalFormatting sqref="B43:D43">
    <cfRule type="expression" priority="5" dxfId="101" stopIfTrue="1">
      <formula>AND($A43&lt;&gt;"COMPOSICAO",$A43&lt;&gt;"INSUMO",$A43&lt;&gt;"")</formula>
    </cfRule>
    <cfRule type="expression" priority="6" dxfId="100" stopIfTrue="1">
      <formula>AND(OR($A43="COMPOSICAO",$A43="INSUMO",$A43&lt;&gt;""),$A43&lt;&gt;"")</formula>
    </cfRule>
  </conditionalFormatting>
  <conditionalFormatting sqref="B42:E42">
    <cfRule type="expression" priority="3" dxfId="101" stopIfTrue="1">
      <formula>AND($A42&lt;&gt;"COMPOSICAO",$A42&lt;&gt;"INSUMO",$A42&lt;&gt;"")</formula>
    </cfRule>
    <cfRule type="expression" priority="4" dxfId="100" stopIfTrue="1">
      <formula>AND(OR($A42="COMPOSICAO",$A42="INSUMO",$A42&lt;&gt;""),$A42&lt;&gt;"")</formula>
    </cfRule>
  </conditionalFormatting>
  <conditionalFormatting sqref="B48">
    <cfRule type="expression" priority="1" dxfId="101" stopIfTrue="1">
      <formula>AND($A48&lt;&gt;"COMPOSICAO",$A48&lt;&gt;"INSUMO",$A48&lt;&gt;"")</formula>
    </cfRule>
    <cfRule type="expression" priority="2" dxfId="100" stopIfTrue="1">
      <formula>AND(OR($A48="COMPOSICAO",$A48="INSUMO",$A48&lt;&gt;""),$A48&lt;&gt;"")</formula>
    </cfRule>
  </conditionalFormatting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75" r:id="rId1"/>
  <headerFooter alignWithMargins="0">
    <oddHeader>&amp;LCCR CONSTRUÇÕES LTDA
CNPJ 633365720001-66
INSC. EST. 19417692-4
RUA SENADOR TEODORO  PACHECO 988 SALA 910</oddHeader>
  </headerFooter>
  <colBreaks count="1" manualBreakCount="1">
    <brk id="10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 topLeftCell="A1">
      <selection activeCell="D13" sqref="D13"/>
    </sheetView>
  </sheetViews>
  <sheetFormatPr defaultColWidth="9.140625" defaultRowHeight="12.75"/>
  <cols>
    <col min="4" max="4" width="57.28125" style="0" customWidth="1"/>
    <col min="7" max="7" width="12.28125" style="0" customWidth="1"/>
    <col min="8" max="8" width="14.421875" style="0" customWidth="1"/>
  </cols>
  <sheetData>
    <row r="1" spans="1:8" ht="15" thickBot="1">
      <c r="A1" s="592">
        <v>12</v>
      </c>
      <c r="B1" s="593" t="s">
        <v>508</v>
      </c>
      <c r="C1" s="594"/>
      <c r="D1" s="595"/>
      <c r="E1" s="596"/>
      <c r="F1" s="597"/>
      <c r="G1" s="597"/>
      <c r="H1" s="598">
        <f>H3+H4+H5+H6</f>
        <v>9151.599999999999</v>
      </c>
    </row>
    <row r="2" spans="1:8" ht="28.5">
      <c r="A2" s="592"/>
      <c r="B2" s="599"/>
      <c r="C2" s="600" t="s">
        <v>541</v>
      </c>
      <c r="D2" s="600" t="s">
        <v>669</v>
      </c>
      <c r="E2" s="600" t="s">
        <v>545</v>
      </c>
      <c r="F2" s="600" t="s">
        <v>670</v>
      </c>
      <c r="G2" s="600" t="s">
        <v>671</v>
      </c>
      <c r="H2" s="601" t="s">
        <v>673</v>
      </c>
    </row>
    <row r="3" spans="1:8" ht="57">
      <c r="A3" s="334" t="s">
        <v>509</v>
      </c>
      <c r="B3" s="340" t="s">
        <v>510</v>
      </c>
      <c r="C3" s="335" t="s">
        <v>471</v>
      </c>
      <c r="D3" s="336" t="s">
        <v>511</v>
      </c>
      <c r="E3" s="337" t="s">
        <v>468</v>
      </c>
      <c r="F3" s="338">
        <v>8</v>
      </c>
      <c r="G3" s="338">
        <v>241.92</v>
      </c>
      <c r="H3" s="339">
        <f>F3*G3</f>
        <v>1935.36</v>
      </c>
    </row>
    <row r="4" spans="1:8" ht="14.25">
      <c r="A4" s="334" t="s">
        <v>512</v>
      </c>
      <c r="B4" s="340" t="s">
        <v>690</v>
      </c>
      <c r="C4" s="335"/>
      <c r="D4" s="336" t="s">
        <v>513</v>
      </c>
      <c r="E4" s="337" t="s">
        <v>38</v>
      </c>
      <c r="F4" s="338">
        <v>4</v>
      </c>
      <c r="G4" s="338">
        <v>415</v>
      </c>
      <c r="H4" s="339">
        <f aca="true" t="shared" si="0" ref="H4:H6">F4*G4</f>
        <v>1660</v>
      </c>
    </row>
    <row r="5" spans="1:8" ht="57">
      <c r="A5" s="334" t="s">
        <v>509</v>
      </c>
      <c r="B5" s="340"/>
      <c r="C5" s="335"/>
      <c r="D5" s="336" t="s">
        <v>726</v>
      </c>
      <c r="E5" s="337" t="s">
        <v>468</v>
      </c>
      <c r="F5" s="338">
        <v>8</v>
      </c>
      <c r="G5" s="338">
        <v>382.5</v>
      </c>
      <c r="H5" s="339">
        <f t="shared" si="0"/>
        <v>3060</v>
      </c>
    </row>
    <row r="6" spans="1:8" ht="21.75" customHeight="1">
      <c r="A6" s="334" t="s">
        <v>512</v>
      </c>
      <c r="B6" s="340" t="s">
        <v>78</v>
      </c>
      <c r="C6" s="335"/>
      <c r="D6" s="336" t="s">
        <v>910</v>
      </c>
      <c r="E6" s="337" t="s">
        <v>38</v>
      </c>
      <c r="F6" s="338">
        <v>8</v>
      </c>
      <c r="G6" s="338">
        <v>312.03</v>
      </c>
      <c r="H6" s="339">
        <f t="shared" si="0"/>
        <v>2496.24</v>
      </c>
    </row>
  </sheetData>
  <printOptions/>
  <pageMargins left="0.5118110236220472" right="0.5118110236220472" top="1.3779527559055118" bottom="0.7874015748031497" header="0.31496062992125984" footer="0.31496062992125984"/>
  <pageSetup horizontalDpi="600" verticalDpi="600" orientation="landscape" paperSize="9" r:id="rId1"/>
  <headerFooter>
    <oddHeader>&amp;LCCR CONSTRUÇÕES LTDA
CNPJ 633365720001-66
INSC. EST. 19417692-4
RUA SENADOR TEODORO PACHECO 988 SALA 910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 topLeftCell="A1">
      <selection activeCell="J12" sqref="J12"/>
    </sheetView>
  </sheetViews>
  <sheetFormatPr defaultColWidth="9.140625" defaultRowHeight="12.75"/>
  <cols>
    <col min="4" max="4" width="78.00390625" style="0" customWidth="1"/>
    <col min="7" max="7" width="12.00390625" style="0" customWidth="1"/>
    <col min="8" max="8" width="12.28125" style="0" customWidth="1"/>
  </cols>
  <sheetData>
    <row r="1" spans="1:8" ht="15" thickBot="1">
      <c r="A1" s="326">
        <v>14</v>
      </c>
      <c r="B1" s="327" t="s">
        <v>514</v>
      </c>
      <c r="C1" s="328"/>
      <c r="D1" s="329"/>
      <c r="E1" s="330"/>
      <c r="F1" s="331"/>
      <c r="G1" s="331"/>
      <c r="H1" s="333">
        <f>SUM(H3:H9)</f>
        <v>2217.8</v>
      </c>
    </row>
    <row r="2" spans="1:8" ht="28.5">
      <c r="A2" s="326"/>
      <c r="B2" s="327"/>
      <c r="C2" s="404" t="s">
        <v>541</v>
      </c>
      <c r="D2" s="404" t="s">
        <v>669</v>
      </c>
      <c r="E2" s="404" t="s">
        <v>545</v>
      </c>
      <c r="F2" s="404" t="s">
        <v>670</v>
      </c>
      <c r="G2" s="404" t="s">
        <v>671</v>
      </c>
      <c r="H2" s="405" t="s">
        <v>673</v>
      </c>
    </row>
    <row r="3" spans="1:8" ht="14.25">
      <c r="A3" s="334" t="s">
        <v>515</v>
      </c>
      <c r="B3" s="335">
        <v>10300</v>
      </c>
      <c r="C3" s="335" t="s">
        <v>481</v>
      </c>
      <c r="D3" s="336" t="s">
        <v>693</v>
      </c>
      <c r="E3" s="337" t="s">
        <v>38</v>
      </c>
      <c r="F3" s="338">
        <v>8</v>
      </c>
      <c r="G3" s="338">
        <v>73.77</v>
      </c>
      <c r="H3" s="339">
        <f>F3*G3</f>
        <v>590.16</v>
      </c>
    </row>
    <row r="4" spans="1:8" ht="28.5">
      <c r="A4" s="334" t="s">
        <v>516</v>
      </c>
      <c r="B4" s="335">
        <v>1511</v>
      </c>
      <c r="C4" s="335" t="s">
        <v>481</v>
      </c>
      <c r="D4" s="336" t="s">
        <v>517</v>
      </c>
      <c r="E4" s="337" t="s">
        <v>38</v>
      </c>
      <c r="F4" s="338">
        <v>2</v>
      </c>
      <c r="G4" s="338">
        <v>123.05</v>
      </c>
      <c r="H4" s="339">
        <f aca="true" t="shared" si="0" ref="H4:H9">F4*G4</f>
        <v>246.1</v>
      </c>
    </row>
    <row r="5" spans="1:8" ht="14.25">
      <c r="A5" s="334" t="s">
        <v>518</v>
      </c>
      <c r="B5" s="340" t="s">
        <v>519</v>
      </c>
      <c r="C5" s="335"/>
      <c r="D5" s="336" t="s">
        <v>520</v>
      </c>
      <c r="E5" s="337" t="s">
        <v>521</v>
      </c>
      <c r="F5" s="338">
        <v>1</v>
      </c>
      <c r="G5" s="338">
        <v>1072.19</v>
      </c>
      <c r="H5" s="339">
        <f t="shared" si="0"/>
        <v>1072.19</v>
      </c>
    </row>
    <row r="6" spans="1:8" ht="14.25">
      <c r="A6" s="334" t="s">
        <v>522</v>
      </c>
      <c r="B6" s="340" t="s">
        <v>523</v>
      </c>
      <c r="C6" s="335"/>
      <c r="D6" s="336" t="s">
        <v>524</v>
      </c>
      <c r="E6" s="337" t="s">
        <v>38</v>
      </c>
      <c r="F6" s="338">
        <v>5</v>
      </c>
      <c r="G6" s="338">
        <v>30.37</v>
      </c>
      <c r="H6" s="339">
        <f t="shared" si="0"/>
        <v>151.85</v>
      </c>
    </row>
    <row r="7" spans="1:8" ht="14.25">
      <c r="A7" s="334" t="s">
        <v>525</v>
      </c>
      <c r="B7" s="340" t="s">
        <v>526</v>
      </c>
      <c r="C7" s="335"/>
      <c r="D7" s="336" t="s">
        <v>527</v>
      </c>
      <c r="E7" s="337" t="s">
        <v>38</v>
      </c>
      <c r="F7" s="338">
        <v>2</v>
      </c>
      <c r="G7" s="338">
        <v>30.37</v>
      </c>
      <c r="H7" s="339">
        <f t="shared" si="0"/>
        <v>60.74</v>
      </c>
    </row>
    <row r="8" spans="1:8" ht="14.25">
      <c r="A8" s="334" t="s">
        <v>528</v>
      </c>
      <c r="B8" s="340" t="s">
        <v>529</v>
      </c>
      <c r="C8" s="335"/>
      <c r="D8" s="336" t="s">
        <v>530</v>
      </c>
      <c r="E8" s="337" t="s">
        <v>38</v>
      </c>
      <c r="F8" s="338">
        <v>2</v>
      </c>
      <c r="G8" s="338">
        <v>17.41</v>
      </c>
      <c r="H8" s="339">
        <f t="shared" si="0"/>
        <v>34.82</v>
      </c>
    </row>
    <row r="9" spans="1:8" ht="14.25">
      <c r="A9" s="334" t="s">
        <v>531</v>
      </c>
      <c r="B9" s="340" t="s">
        <v>532</v>
      </c>
      <c r="C9" s="335"/>
      <c r="D9" s="336" t="s">
        <v>533</v>
      </c>
      <c r="E9" s="337" t="s">
        <v>38</v>
      </c>
      <c r="F9" s="338">
        <v>2</v>
      </c>
      <c r="G9" s="338">
        <v>30.97</v>
      </c>
      <c r="H9" s="339">
        <f t="shared" si="0"/>
        <v>61.94</v>
      </c>
    </row>
  </sheetData>
  <printOptions/>
  <pageMargins left="0.5118110236220472" right="0.5118110236220472" top="1.1811023622047245" bottom="0.7874015748031497" header="0.31496062992125984" footer="0.31496062992125984"/>
  <pageSetup horizontalDpi="600" verticalDpi="600" orientation="landscape" paperSize="9" scale="80" r:id="rId1"/>
  <headerFooter>
    <oddHeader>&amp;LCCR CONSTRUÇÕES LTDA
CNPJ 633365720001-66
INSC. EST. 19417692-4
RUA SENADOR TEODORO PACHECO 988 SALA 910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0"/>
  <sheetViews>
    <sheetView workbookViewId="0" topLeftCell="A1">
      <selection activeCell="K9" sqref="K9"/>
    </sheetView>
  </sheetViews>
  <sheetFormatPr defaultColWidth="9.140625" defaultRowHeight="12.75"/>
  <cols>
    <col min="1" max="1" width="11.421875" style="0" customWidth="1"/>
    <col min="4" max="4" width="37.28125" style="0" customWidth="1"/>
    <col min="8" max="8" width="15.28125" style="0" customWidth="1"/>
  </cols>
  <sheetData>
    <row r="1" spans="1:8" ht="14.25">
      <c r="A1" s="341" t="s">
        <v>534</v>
      </c>
      <c r="B1" s="814" t="s">
        <v>719</v>
      </c>
      <c r="C1" s="814"/>
      <c r="D1" s="814"/>
      <c r="E1" s="814"/>
      <c r="F1" s="815"/>
      <c r="G1" s="342"/>
      <c r="H1" s="343"/>
    </row>
    <row r="2" spans="1:8" ht="15" thickBot="1">
      <c r="A2" s="344">
        <f>'[3]Orçamento'!A3</f>
        <v>0</v>
      </c>
      <c r="B2" s="345">
        <f>'[3]Orçamento'!B3</f>
        <v>0</v>
      </c>
      <c r="C2" s="346"/>
      <c r="D2" s="346"/>
      <c r="E2" s="347"/>
      <c r="F2" s="348"/>
      <c r="G2" s="346"/>
      <c r="H2" s="349"/>
    </row>
    <row r="3" spans="1:8" ht="14.25">
      <c r="A3" s="350" t="s">
        <v>535</v>
      </c>
      <c r="B3" s="351"/>
      <c r="C3" s="351"/>
      <c r="D3" s="352"/>
      <c r="E3" s="352"/>
      <c r="F3" s="353"/>
      <c r="G3" s="354"/>
      <c r="H3" s="355"/>
    </row>
    <row r="4" spans="1:8" ht="15" thickBot="1">
      <c r="A4" s="356" t="s">
        <v>536</v>
      </c>
      <c r="B4" s="357"/>
      <c r="C4" s="357"/>
      <c r="D4" s="357"/>
      <c r="E4" s="357"/>
      <c r="F4" s="357"/>
      <c r="G4" s="357"/>
      <c r="H4" s="357"/>
    </row>
    <row r="5" spans="1:8" ht="16.5" thickBot="1">
      <c r="A5" s="816" t="s">
        <v>537</v>
      </c>
      <c r="B5" s="817"/>
      <c r="C5" s="817"/>
      <c r="D5" s="817"/>
      <c r="E5" s="817"/>
      <c r="F5" s="817"/>
      <c r="G5" s="817"/>
      <c r="H5" s="818"/>
    </row>
    <row r="6" spans="1:8" ht="18">
      <c r="A6" s="811">
        <v>1</v>
      </c>
      <c r="B6" s="812"/>
      <c r="C6" s="812"/>
      <c r="D6" s="812"/>
      <c r="E6" s="812"/>
      <c r="F6" s="813"/>
      <c r="G6" s="358" t="s">
        <v>538</v>
      </c>
      <c r="H6" s="359" t="str">
        <f>UPPER(VLOOKUP(B7,'[3]Orçamento'!D:I,2,0))</f>
        <v>MÊS</v>
      </c>
    </row>
    <row r="7" spans="1:8" ht="14.25">
      <c r="A7" s="360" t="s">
        <v>539</v>
      </c>
      <c r="B7" s="804" t="s">
        <v>40</v>
      </c>
      <c r="C7" s="805"/>
      <c r="D7" s="805" t="s">
        <v>540</v>
      </c>
      <c r="E7" s="805"/>
      <c r="F7" s="805"/>
      <c r="G7" s="805"/>
      <c r="H7" s="806"/>
    </row>
    <row r="8" spans="1:8" ht="14.25">
      <c r="A8" s="361" t="s">
        <v>541</v>
      </c>
      <c r="B8" s="362" t="s">
        <v>542</v>
      </c>
      <c r="C8" s="363" t="s">
        <v>543</v>
      </c>
      <c r="D8" s="364" t="s">
        <v>544</v>
      </c>
      <c r="E8" s="363" t="s">
        <v>545</v>
      </c>
      <c r="F8" s="365" t="s">
        <v>546</v>
      </c>
      <c r="G8" s="363" t="s">
        <v>547</v>
      </c>
      <c r="H8" s="366" t="s">
        <v>548</v>
      </c>
    </row>
    <row r="9" spans="1:8" ht="14.25">
      <c r="A9" s="367" t="s">
        <v>419</v>
      </c>
      <c r="B9" s="368" t="s">
        <v>549</v>
      </c>
      <c r="C9" s="369">
        <v>90777</v>
      </c>
      <c r="D9" s="370" t="s">
        <v>550</v>
      </c>
      <c r="E9" s="371" t="s">
        <v>88</v>
      </c>
      <c r="F9" s="372">
        <v>10</v>
      </c>
      <c r="G9" s="373">
        <v>93.03</v>
      </c>
      <c r="H9" s="374">
        <f aca="true" t="shared" si="0" ref="H9:H10">ROUND(F9*G9,2)</f>
        <v>930.3</v>
      </c>
    </row>
    <row r="10" spans="1:8" ht="14.25">
      <c r="A10" s="367" t="s">
        <v>419</v>
      </c>
      <c r="B10" s="368" t="s">
        <v>549</v>
      </c>
      <c r="C10" s="369">
        <v>90776</v>
      </c>
      <c r="D10" s="370" t="s">
        <v>98</v>
      </c>
      <c r="E10" s="371" t="s">
        <v>88</v>
      </c>
      <c r="F10" s="372">
        <v>80</v>
      </c>
      <c r="G10" s="373">
        <v>19.75</v>
      </c>
      <c r="H10" s="374">
        <f t="shared" si="0"/>
        <v>1580</v>
      </c>
    </row>
    <row r="11" spans="1:8" ht="15" thickBot="1">
      <c r="A11" s="375" t="s">
        <v>551</v>
      </c>
      <c r="B11" s="807" t="s">
        <v>472</v>
      </c>
      <c r="C11" s="808"/>
      <c r="D11" s="808"/>
      <c r="E11" s="809"/>
      <c r="F11" s="376"/>
      <c r="G11" s="377" t="s">
        <v>552</v>
      </c>
      <c r="H11" s="378">
        <f>ROUND(SUM(H9:H10),2)</f>
        <v>2510.3</v>
      </c>
    </row>
    <row r="12" spans="1:8" ht="15" thickBot="1">
      <c r="A12" s="355"/>
      <c r="B12" s="355"/>
      <c r="C12" s="355"/>
      <c r="D12" s="355"/>
      <c r="E12" s="355"/>
      <c r="F12" s="355"/>
      <c r="G12" s="355"/>
      <c r="H12" s="355"/>
    </row>
    <row r="13" spans="1:8" ht="18">
      <c r="A13" s="811">
        <v>2</v>
      </c>
      <c r="B13" s="812"/>
      <c r="C13" s="812"/>
      <c r="D13" s="812"/>
      <c r="E13" s="812"/>
      <c r="F13" s="813"/>
      <c r="G13" s="358" t="s">
        <v>538</v>
      </c>
      <c r="H13" s="359" t="str">
        <f>UPPER(VLOOKUP(B14,'[3]Orçamento'!D:I,2,0))</f>
        <v>UN</v>
      </c>
    </row>
    <row r="14" spans="1:8" ht="14.25">
      <c r="A14" s="360" t="s">
        <v>539</v>
      </c>
      <c r="B14" s="804" t="s">
        <v>553</v>
      </c>
      <c r="C14" s="805"/>
      <c r="D14" s="805"/>
      <c r="E14" s="805"/>
      <c r="F14" s="805"/>
      <c r="G14" s="805"/>
      <c r="H14" s="806"/>
    </row>
    <row r="15" spans="1:8" ht="14.25">
      <c r="A15" s="361" t="s">
        <v>541</v>
      </c>
      <c r="B15" s="362" t="s">
        <v>542</v>
      </c>
      <c r="C15" s="363" t="s">
        <v>543</v>
      </c>
      <c r="D15" s="364" t="s">
        <v>544</v>
      </c>
      <c r="E15" s="363" t="s">
        <v>545</v>
      </c>
      <c r="F15" s="379" t="s">
        <v>546</v>
      </c>
      <c r="G15" s="363" t="s">
        <v>547</v>
      </c>
      <c r="H15" s="366" t="s">
        <v>548</v>
      </c>
    </row>
    <row r="16" spans="1:8" ht="14.25">
      <c r="A16" s="380" t="s">
        <v>419</v>
      </c>
      <c r="B16" s="368" t="s">
        <v>549</v>
      </c>
      <c r="C16" s="381">
        <v>88316</v>
      </c>
      <c r="D16" s="370" t="s">
        <v>554</v>
      </c>
      <c r="E16" s="371" t="s">
        <v>88</v>
      </c>
      <c r="F16" s="382">
        <v>1.7</v>
      </c>
      <c r="G16" s="373">
        <v>12.05</v>
      </c>
      <c r="H16" s="383">
        <f aca="true" t="shared" si="1" ref="H16">ROUND(G16*F16,2)</f>
        <v>20.49</v>
      </c>
    </row>
    <row r="17" spans="1:8" ht="15" thickBot="1">
      <c r="A17" s="375" t="s">
        <v>551</v>
      </c>
      <c r="B17" s="807" t="s">
        <v>472</v>
      </c>
      <c r="C17" s="808"/>
      <c r="D17" s="808"/>
      <c r="E17" s="809"/>
      <c r="F17" s="384"/>
      <c r="G17" s="377" t="s">
        <v>552</v>
      </c>
      <c r="H17" s="385">
        <f>SUM(H16:H16)</f>
        <v>20.49</v>
      </c>
    </row>
    <row r="18" spans="1:8" ht="15" thickBot="1">
      <c r="A18" s="355"/>
      <c r="B18" s="355"/>
      <c r="C18" s="355"/>
      <c r="D18" s="355"/>
      <c r="E18" s="355"/>
      <c r="F18" s="355"/>
      <c r="G18" s="355"/>
      <c r="H18" s="355"/>
    </row>
    <row r="19" spans="1:8" ht="18">
      <c r="A19" s="811">
        <v>3</v>
      </c>
      <c r="B19" s="812"/>
      <c r="C19" s="812"/>
      <c r="D19" s="812"/>
      <c r="E19" s="812"/>
      <c r="F19" s="813"/>
      <c r="G19" s="358" t="s">
        <v>538</v>
      </c>
      <c r="H19" s="359" t="str">
        <f>UPPER(VLOOKUP(B20,'[3]Orçamento'!D:I,2,0))</f>
        <v>M2</v>
      </c>
    </row>
    <row r="20" spans="1:8" ht="14.25">
      <c r="A20" s="360" t="s">
        <v>539</v>
      </c>
      <c r="B20" s="804" t="s">
        <v>555</v>
      </c>
      <c r="C20" s="805"/>
      <c r="D20" s="805"/>
      <c r="E20" s="805"/>
      <c r="F20" s="805"/>
      <c r="G20" s="805"/>
      <c r="H20" s="806"/>
    </row>
    <row r="21" spans="1:8" ht="14.25">
      <c r="A21" s="361" t="s">
        <v>541</v>
      </c>
      <c r="B21" s="362" t="s">
        <v>542</v>
      </c>
      <c r="C21" s="363" t="s">
        <v>543</v>
      </c>
      <c r="D21" s="364" t="s">
        <v>544</v>
      </c>
      <c r="E21" s="363" t="s">
        <v>545</v>
      </c>
      <c r="F21" s="379" t="s">
        <v>546</v>
      </c>
      <c r="G21" s="363" t="s">
        <v>547</v>
      </c>
      <c r="H21" s="366" t="s">
        <v>548</v>
      </c>
    </row>
    <row r="22" spans="1:8" ht="42.75">
      <c r="A22" s="380" t="s">
        <v>471</v>
      </c>
      <c r="B22" s="368" t="s">
        <v>556</v>
      </c>
      <c r="C22" s="381" t="s">
        <v>557</v>
      </c>
      <c r="D22" s="370" t="s">
        <v>558</v>
      </c>
      <c r="E22" s="371" t="s">
        <v>399</v>
      </c>
      <c r="F22" s="382">
        <v>1</v>
      </c>
      <c r="G22" s="373">
        <v>90.07</v>
      </c>
      <c r="H22" s="383">
        <f aca="true" t="shared" si="2" ref="H22">ROUND(G22*F22,2)</f>
        <v>90.07</v>
      </c>
    </row>
    <row r="23" spans="1:8" ht="15" thickBot="1">
      <c r="A23" s="375" t="s">
        <v>551</v>
      </c>
      <c r="B23" s="807" t="s">
        <v>472</v>
      </c>
      <c r="C23" s="808"/>
      <c r="D23" s="808"/>
      <c r="E23" s="809"/>
      <c r="F23" s="384"/>
      <c r="G23" s="377" t="s">
        <v>552</v>
      </c>
      <c r="H23" s="385">
        <f>SUM(H22:H22)</f>
        <v>90.07</v>
      </c>
    </row>
    <row r="24" spans="1:8" ht="15" thickBot="1">
      <c r="A24" s="355"/>
      <c r="B24" s="355"/>
      <c r="C24" s="355"/>
      <c r="D24" s="355"/>
      <c r="E24" s="355"/>
      <c r="F24" s="355"/>
      <c r="G24" s="355"/>
      <c r="H24" s="355"/>
    </row>
    <row r="25" spans="1:8" ht="18">
      <c r="A25" s="811">
        <v>4</v>
      </c>
      <c r="B25" s="812"/>
      <c r="C25" s="812"/>
      <c r="D25" s="812"/>
      <c r="E25" s="812"/>
      <c r="F25" s="813"/>
      <c r="G25" s="358" t="s">
        <v>538</v>
      </c>
      <c r="H25" s="359" t="str">
        <f>UPPER(VLOOKUP(B26,'[3]Orçamento'!D:I,2,0))</f>
        <v>M2</v>
      </c>
    </row>
    <row r="26" spans="1:8" ht="14.25">
      <c r="A26" s="360" t="s">
        <v>539</v>
      </c>
      <c r="B26" s="804" t="s">
        <v>559</v>
      </c>
      <c r="C26" s="805"/>
      <c r="D26" s="805"/>
      <c r="E26" s="805"/>
      <c r="F26" s="805"/>
      <c r="G26" s="805"/>
      <c r="H26" s="806"/>
    </row>
    <row r="27" spans="1:8" ht="14.25">
      <c r="A27" s="361" t="s">
        <v>541</v>
      </c>
      <c r="B27" s="362" t="s">
        <v>542</v>
      </c>
      <c r="C27" s="363" t="s">
        <v>543</v>
      </c>
      <c r="D27" s="364" t="s">
        <v>544</v>
      </c>
      <c r="E27" s="363" t="s">
        <v>545</v>
      </c>
      <c r="F27" s="379" t="s">
        <v>546</v>
      </c>
      <c r="G27" s="363" t="s">
        <v>547</v>
      </c>
      <c r="H27" s="366" t="s">
        <v>548</v>
      </c>
    </row>
    <row r="28" spans="1:8" ht="42.75">
      <c r="A28" s="380" t="s">
        <v>419</v>
      </c>
      <c r="B28" s="368" t="s">
        <v>556</v>
      </c>
      <c r="C28" s="381">
        <v>11587</v>
      </c>
      <c r="D28" s="370" t="s">
        <v>560</v>
      </c>
      <c r="E28" s="371" t="s">
        <v>399</v>
      </c>
      <c r="F28" s="382">
        <v>1.1</v>
      </c>
      <c r="G28" s="373">
        <v>33.5</v>
      </c>
      <c r="H28" s="383">
        <f aca="true" t="shared" si="3" ref="H28">ROUND(G28*F28,2)</f>
        <v>36.85</v>
      </c>
    </row>
    <row r="29" spans="1:8" ht="15" thickBot="1">
      <c r="A29" s="375" t="s">
        <v>551</v>
      </c>
      <c r="B29" s="807" t="s">
        <v>472</v>
      </c>
      <c r="C29" s="808"/>
      <c r="D29" s="808"/>
      <c r="E29" s="809"/>
      <c r="F29" s="384"/>
      <c r="G29" s="377" t="s">
        <v>552</v>
      </c>
      <c r="H29" s="385">
        <f>SUM(H28:H28)</f>
        <v>36.85</v>
      </c>
    </row>
    <row r="30" spans="1:8" ht="15" thickBot="1">
      <c r="A30" s="355"/>
      <c r="B30" s="355"/>
      <c r="C30" s="355"/>
      <c r="D30" s="355"/>
      <c r="E30" s="355"/>
      <c r="F30" s="355"/>
      <c r="G30" s="355"/>
      <c r="H30" s="355"/>
    </row>
    <row r="31" spans="1:8" ht="18">
      <c r="A31" s="811">
        <v>5</v>
      </c>
      <c r="B31" s="812"/>
      <c r="C31" s="812"/>
      <c r="D31" s="812"/>
      <c r="E31" s="812"/>
      <c r="F31" s="813"/>
      <c r="G31" s="358" t="s">
        <v>538</v>
      </c>
      <c r="H31" s="359" t="str">
        <f>UPPER(VLOOKUP(B32,'[3]Orçamento'!D:I,2,0))</f>
        <v>UN</v>
      </c>
    </row>
    <row r="32" spans="1:8" ht="14.25">
      <c r="A32" s="360" t="s">
        <v>539</v>
      </c>
      <c r="B32" s="804" t="s">
        <v>561</v>
      </c>
      <c r="C32" s="805"/>
      <c r="D32" s="805"/>
      <c r="E32" s="805"/>
      <c r="F32" s="805"/>
      <c r="G32" s="805"/>
      <c r="H32" s="806"/>
    </row>
    <row r="33" spans="1:8" ht="14.25">
      <c r="A33" s="361" t="s">
        <v>541</v>
      </c>
      <c r="B33" s="362" t="s">
        <v>542</v>
      </c>
      <c r="C33" s="363" t="s">
        <v>543</v>
      </c>
      <c r="D33" s="364" t="s">
        <v>544</v>
      </c>
      <c r="E33" s="363" t="s">
        <v>545</v>
      </c>
      <c r="F33" s="379" t="s">
        <v>546</v>
      </c>
      <c r="G33" s="363" t="s">
        <v>547</v>
      </c>
      <c r="H33" s="366" t="s">
        <v>548</v>
      </c>
    </row>
    <row r="34" spans="1:8" ht="42.75">
      <c r="A34" s="380" t="s">
        <v>419</v>
      </c>
      <c r="B34" s="368" t="s">
        <v>549</v>
      </c>
      <c r="C34" s="381">
        <v>6103</v>
      </c>
      <c r="D34" s="370" t="s">
        <v>562</v>
      </c>
      <c r="E34" s="371" t="s">
        <v>399</v>
      </c>
      <c r="F34" s="382">
        <v>0.6375</v>
      </c>
      <c r="G34" s="373">
        <v>227.03</v>
      </c>
      <c r="H34" s="383">
        <f>ROUND(G34*F34,2)</f>
        <v>144.73</v>
      </c>
    </row>
    <row r="35" spans="1:8" ht="14.25">
      <c r="A35" s="380" t="s">
        <v>419</v>
      </c>
      <c r="B35" s="368" t="s">
        <v>549</v>
      </c>
      <c r="C35" s="381">
        <v>88316</v>
      </c>
      <c r="D35" s="370" t="s">
        <v>554</v>
      </c>
      <c r="E35" s="371" t="s">
        <v>88</v>
      </c>
      <c r="F35" s="382">
        <v>0.1275</v>
      </c>
      <c r="G35" s="373">
        <v>12.05</v>
      </c>
      <c r="H35" s="383">
        <f aca="true" t="shared" si="4" ref="H35:H38">ROUND(G35*F35,2)</f>
        <v>1.54</v>
      </c>
    </row>
    <row r="36" spans="1:8" ht="14.25">
      <c r="A36" s="380" t="s">
        <v>419</v>
      </c>
      <c r="B36" s="368" t="s">
        <v>549</v>
      </c>
      <c r="C36" s="381">
        <v>88325</v>
      </c>
      <c r="D36" s="370" t="s">
        <v>563</v>
      </c>
      <c r="E36" s="371" t="s">
        <v>88</v>
      </c>
      <c r="F36" s="382">
        <v>0.6375</v>
      </c>
      <c r="G36" s="373">
        <v>13.67</v>
      </c>
      <c r="H36" s="383">
        <f t="shared" si="4"/>
        <v>8.71</v>
      </c>
    </row>
    <row r="37" spans="1:8" ht="14.25">
      <c r="A37" s="380" t="s">
        <v>419</v>
      </c>
      <c r="B37" s="368" t="s">
        <v>556</v>
      </c>
      <c r="C37" s="381">
        <v>10493</v>
      </c>
      <c r="D37" s="370" t="s">
        <v>564</v>
      </c>
      <c r="E37" s="371" t="s">
        <v>399</v>
      </c>
      <c r="F37" s="382">
        <v>0.6375</v>
      </c>
      <c r="G37" s="373">
        <v>108.88</v>
      </c>
      <c r="H37" s="383">
        <f t="shared" si="4"/>
        <v>69.41</v>
      </c>
    </row>
    <row r="38" spans="1:8" ht="14.25">
      <c r="A38" s="380" t="s">
        <v>419</v>
      </c>
      <c r="B38" s="368" t="s">
        <v>556</v>
      </c>
      <c r="C38" s="381">
        <v>10498</v>
      </c>
      <c r="D38" s="370" t="s">
        <v>238</v>
      </c>
      <c r="E38" s="371" t="s">
        <v>54</v>
      </c>
      <c r="F38" s="382">
        <v>1.275</v>
      </c>
      <c r="G38" s="373">
        <v>5.93</v>
      </c>
      <c r="H38" s="383">
        <f t="shared" si="4"/>
        <v>7.56</v>
      </c>
    </row>
    <row r="39" spans="1:8" ht="15" thickBot="1">
      <c r="A39" s="375" t="s">
        <v>551</v>
      </c>
      <c r="B39" s="807" t="s">
        <v>565</v>
      </c>
      <c r="C39" s="808"/>
      <c r="D39" s="808"/>
      <c r="E39" s="809"/>
      <c r="F39" s="384"/>
      <c r="G39" s="377" t="s">
        <v>552</v>
      </c>
      <c r="H39" s="385">
        <f>SUM(H34:H38)</f>
        <v>231.95</v>
      </c>
    </row>
    <row r="40" spans="1:8" ht="15" thickBot="1">
      <c r="A40" s="355"/>
      <c r="B40" s="355"/>
      <c r="C40" s="355"/>
      <c r="D40" s="355"/>
      <c r="E40" s="355"/>
      <c r="F40" s="355"/>
      <c r="G40" s="355"/>
      <c r="H40" s="355"/>
    </row>
    <row r="41" spans="1:8" ht="18">
      <c r="A41" s="811">
        <v>6</v>
      </c>
      <c r="B41" s="812"/>
      <c r="C41" s="812"/>
      <c r="D41" s="812"/>
      <c r="E41" s="812"/>
      <c r="F41" s="813"/>
      <c r="G41" s="358" t="s">
        <v>538</v>
      </c>
      <c r="H41" s="359" t="str">
        <f>UPPER(VLOOKUP(B42,'[3]Orçamento'!D:I,2,0))</f>
        <v>UN</v>
      </c>
    </row>
    <row r="42" spans="1:8" ht="14.25">
      <c r="A42" s="360" t="s">
        <v>539</v>
      </c>
      <c r="B42" s="804" t="s">
        <v>566</v>
      </c>
      <c r="C42" s="805"/>
      <c r="D42" s="805"/>
      <c r="E42" s="805"/>
      <c r="F42" s="805"/>
      <c r="G42" s="805"/>
      <c r="H42" s="806"/>
    </row>
    <row r="43" spans="1:8" ht="14.25">
      <c r="A43" s="361" t="s">
        <v>541</v>
      </c>
      <c r="B43" s="362" t="s">
        <v>542</v>
      </c>
      <c r="C43" s="363" t="s">
        <v>543</v>
      </c>
      <c r="D43" s="364" t="s">
        <v>544</v>
      </c>
      <c r="E43" s="363" t="s">
        <v>545</v>
      </c>
      <c r="F43" s="379" t="s">
        <v>546</v>
      </c>
      <c r="G43" s="363" t="s">
        <v>547</v>
      </c>
      <c r="H43" s="366" t="s">
        <v>548</v>
      </c>
    </row>
    <row r="44" spans="1:8" ht="14.25">
      <c r="A44" s="380" t="s">
        <v>419</v>
      </c>
      <c r="B44" s="368" t="s">
        <v>549</v>
      </c>
      <c r="C44" s="381">
        <v>85010</v>
      </c>
      <c r="D44" s="370" t="s">
        <v>567</v>
      </c>
      <c r="E44" s="371" t="s">
        <v>399</v>
      </c>
      <c r="F44" s="382">
        <v>1.98</v>
      </c>
      <c r="G44" s="373">
        <v>347.78</v>
      </c>
      <c r="H44" s="383">
        <f>ROUND(G44*F44,2)</f>
        <v>688.6</v>
      </c>
    </row>
    <row r="45" spans="1:8" ht="14.25">
      <c r="A45" s="380" t="s">
        <v>481</v>
      </c>
      <c r="B45" s="368" t="s">
        <v>556</v>
      </c>
      <c r="C45" s="381">
        <v>2880</v>
      </c>
      <c r="D45" s="370" t="s">
        <v>568</v>
      </c>
      <c r="E45" s="371" t="s">
        <v>399</v>
      </c>
      <c r="F45" s="382">
        <v>1.98</v>
      </c>
      <c r="G45" s="373">
        <v>402.07</v>
      </c>
      <c r="H45" s="383">
        <f aca="true" t="shared" si="5" ref="H45">ROUND(G45*F45,2)</f>
        <v>796.1</v>
      </c>
    </row>
    <row r="46" spans="1:8" ht="15" thickBot="1">
      <c r="A46" s="375" t="s">
        <v>551</v>
      </c>
      <c r="B46" s="807" t="s">
        <v>472</v>
      </c>
      <c r="C46" s="808"/>
      <c r="D46" s="808"/>
      <c r="E46" s="809"/>
      <c r="F46" s="384"/>
      <c r="G46" s="377" t="s">
        <v>552</v>
      </c>
      <c r="H46" s="385">
        <f>SUM(H44:H45)</f>
        <v>1484.7</v>
      </c>
    </row>
    <row r="47" spans="1:8" ht="15" thickBot="1">
      <c r="A47" s="355"/>
      <c r="B47" s="355"/>
      <c r="C47" s="355"/>
      <c r="D47" s="355"/>
      <c r="E47" s="386"/>
      <c r="F47" s="387"/>
      <c r="G47" s="355"/>
      <c r="H47" s="386"/>
    </row>
    <row r="48" spans="1:8" ht="18">
      <c r="A48" s="811">
        <v>7</v>
      </c>
      <c r="B48" s="812"/>
      <c r="C48" s="812"/>
      <c r="D48" s="812"/>
      <c r="E48" s="812"/>
      <c r="F48" s="813"/>
      <c r="G48" s="358" t="s">
        <v>538</v>
      </c>
      <c r="H48" s="359" t="str">
        <f>UPPER(VLOOKUP(B49,'[3]Orçamento'!D:I,2,0))</f>
        <v>UN</v>
      </c>
    </row>
    <row r="49" spans="1:8" ht="14.25">
      <c r="A49" s="360" t="s">
        <v>539</v>
      </c>
      <c r="B49" s="804" t="s">
        <v>569</v>
      </c>
      <c r="C49" s="805"/>
      <c r="D49" s="805"/>
      <c r="E49" s="805"/>
      <c r="F49" s="805"/>
      <c r="G49" s="805"/>
      <c r="H49" s="806"/>
    </row>
    <row r="50" spans="1:8" ht="14.25">
      <c r="A50" s="361" t="s">
        <v>541</v>
      </c>
      <c r="B50" s="362" t="s">
        <v>542</v>
      </c>
      <c r="C50" s="363" t="s">
        <v>543</v>
      </c>
      <c r="D50" s="364" t="s">
        <v>544</v>
      </c>
      <c r="E50" s="363" t="s">
        <v>545</v>
      </c>
      <c r="F50" s="379" t="s">
        <v>546</v>
      </c>
      <c r="G50" s="363" t="s">
        <v>547</v>
      </c>
      <c r="H50" s="366" t="s">
        <v>548</v>
      </c>
    </row>
    <row r="51" spans="1:8" ht="57">
      <c r="A51" s="380" t="s">
        <v>419</v>
      </c>
      <c r="B51" s="368" t="s">
        <v>549</v>
      </c>
      <c r="C51" s="381">
        <v>90823</v>
      </c>
      <c r="D51" s="370" t="s">
        <v>570</v>
      </c>
      <c r="E51" s="371" t="s">
        <v>38</v>
      </c>
      <c r="F51" s="382">
        <v>1</v>
      </c>
      <c r="G51" s="373">
        <v>182.91</v>
      </c>
      <c r="H51" s="383">
        <f>ROUND(G51*F51,2)</f>
        <v>182.91</v>
      </c>
    </row>
    <row r="52" spans="1:8" ht="57">
      <c r="A52" s="380" t="s">
        <v>419</v>
      </c>
      <c r="B52" s="368" t="s">
        <v>549</v>
      </c>
      <c r="C52" s="381">
        <v>90830</v>
      </c>
      <c r="D52" s="370" t="s">
        <v>571</v>
      </c>
      <c r="E52" s="371" t="s">
        <v>38</v>
      </c>
      <c r="F52" s="382">
        <v>1</v>
      </c>
      <c r="G52" s="373">
        <v>74.03</v>
      </c>
      <c r="H52" s="383">
        <f>ROUND(G52*F52,2)</f>
        <v>74.03</v>
      </c>
    </row>
    <row r="53" spans="1:8" ht="28.5">
      <c r="A53" s="380" t="s">
        <v>471</v>
      </c>
      <c r="B53" s="368" t="s">
        <v>549</v>
      </c>
      <c r="C53" s="381" t="s">
        <v>572</v>
      </c>
      <c r="D53" s="370" t="s">
        <v>573</v>
      </c>
      <c r="E53" s="371" t="s">
        <v>26</v>
      </c>
      <c r="F53" s="382">
        <v>5.1</v>
      </c>
      <c r="G53" s="373">
        <v>38.85</v>
      </c>
      <c r="H53" s="383">
        <f>ROUND(G53*F53,2)</f>
        <v>198.14</v>
      </c>
    </row>
    <row r="54" spans="1:8" ht="57">
      <c r="A54" s="380" t="s">
        <v>419</v>
      </c>
      <c r="B54" s="368" t="s">
        <v>549</v>
      </c>
      <c r="C54" s="381">
        <v>90829</v>
      </c>
      <c r="D54" s="370" t="s">
        <v>574</v>
      </c>
      <c r="E54" s="371" t="s">
        <v>38</v>
      </c>
      <c r="F54" s="382">
        <v>2</v>
      </c>
      <c r="G54" s="373">
        <v>26.71</v>
      </c>
      <c r="H54" s="383">
        <f aca="true" t="shared" si="6" ref="H54:H55">ROUND(G54*F54,2)</f>
        <v>53.42</v>
      </c>
    </row>
    <row r="55" spans="1:8" ht="42.75">
      <c r="A55" s="380" t="s">
        <v>419</v>
      </c>
      <c r="B55" s="368" t="s">
        <v>556</v>
      </c>
      <c r="C55" s="381">
        <v>40555</v>
      </c>
      <c r="D55" s="370" t="s">
        <v>575</v>
      </c>
      <c r="E55" s="371" t="s">
        <v>26</v>
      </c>
      <c r="F55" s="382">
        <v>10</v>
      </c>
      <c r="G55" s="373">
        <v>17.69</v>
      </c>
      <c r="H55" s="383">
        <f t="shared" si="6"/>
        <v>176.9</v>
      </c>
    </row>
    <row r="56" spans="1:8" ht="14.25">
      <c r="A56" s="388" t="s">
        <v>576</v>
      </c>
      <c r="B56" s="389"/>
      <c r="C56" s="390"/>
      <c r="D56" s="391"/>
      <c r="E56" s="392"/>
      <c r="F56" s="393"/>
      <c r="G56" s="394"/>
      <c r="H56" s="395"/>
    </row>
    <row r="57" spans="1:8" ht="28.5">
      <c r="A57" s="380" t="s">
        <v>419</v>
      </c>
      <c r="B57" s="368" t="s">
        <v>549</v>
      </c>
      <c r="C57" s="396" t="s">
        <v>577</v>
      </c>
      <c r="D57" s="370" t="s">
        <v>578</v>
      </c>
      <c r="E57" s="371" t="s">
        <v>399</v>
      </c>
      <c r="F57" s="382">
        <v>0.72</v>
      </c>
      <c r="G57" s="373">
        <v>167.03</v>
      </c>
      <c r="H57" s="383">
        <f aca="true" t="shared" si="7" ref="H57">ROUND(G57*F57,2)</f>
        <v>120.26</v>
      </c>
    </row>
    <row r="58" spans="1:8" ht="14.25">
      <c r="A58" s="388" t="s">
        <v>579</v>
      </c>
      <c r="B58" s="389"/>
      <c r="C58" s="390"/>
      <c r="D58" s="391"/>
      <c r="E58" s="392"/>
      <c r="F58" s="393"/>
      <c r="G58" s="394"/>
      <c r="H58" s="395"/>
    </row>
    <row r="59" spans="1:8" ht="14.25">
      <c r="A59" s="380" t="s">
        <v>419</v>
      </c>
      <c r="B59" s="368" t="s">
        <v>549</v>
      </c>
      <c r="C59" s="381">
        <v>88261</v>
      </c>
      <c r="D59" s="370" t="s">
        <v>580</v>
      </c>
      <c r="E59" s="371" t="s">
        <v>88</v>
      </c>
      <c r="F59" s="382">
        <v>0.25</v>
      </c>
      <c r="G59" s="373">
        <v>14.99</v>
      </c>
      <c r="H59" s="383">
        <f>ROUND(G59*F59,2)</f>
        <v>3.75</v>
      </c>
    </row>
    <row r="60" spans="1:8" ht="14.25">
      <c r="A60" s="380" t="s">
        <v>471</v>
      </c>
      <c r="B60" s="368" t="s">
        <v>556</v>
      </c>
      <c r="C60" s="396" t="s">
        <v>581</v>
      </c>
      <c r="D60" s="370" t="s">
        <v>582</v>
      </c>
      <c r="E60" s="371" t="s">
        <v>26</v>
      </c>
      <c r="F60" s="382">
        <v>0.9</v>
      </c>
      <c r="G60" s="373">
        <v>220.51</v>
      </c>
      <c r="H60" s="383">
        <f>ROUND(G60*F60,2)</f>
        <v>198.46</v>
      </c>
    </row>
    <row r="61" spans="1:8" ht="14.25">
      <c r="A61" s="388" t="s">
        <v>583</v>
      </c>
      <c r="B61" s="389"/>
      <c r="C61" s="390"/>
      <c r="D61" s="391"/>
      <c r="E61" s="392"/>
      <c r="F61" s="393"/>
      <c r="G61" s="394"/>
      <c r="H61" s="395"/>
    </row>
    <row r="62" spans="1:8" ht="28.5">
      <c r="A62" s="380" t="s">
        <v>471</v>
      </c>
      <c r="B62" s="368" t="s">
        <v>549</v>
      </c>
      <c r="C62" s="381" t="s">
        <v>572</v>
      </c>
      <c r="D62" s="370" t="s">
        <v>573</v>
      </c>
      <c r="E62" s="371" t="s">
        <v>26</v>
      </c>
      <c r="F62" s="382">
        <v>2.6</v>
      </c>
      <c r="G62" s="373">
        <v>38.85</v>
      </c>
      <c r="H62" s="383">
        <f>ROUND(G62*F62,2)</f>
        <v>101.01</v>
      </c>
    </row>
    <row r="63" spans="1:8" ht="14.25">
      <c r="A63" s="380" t="s">
        <v>419</v>
      </c>
      <c r="B63" s="368" t="s">
        <v>549</v>
      </c>
      <c r="C63" s="381">
        <v>84957</v>
      </c>
      <c r="D63" s="370" t="s">
        <v>564</v>
      </c>
      <c r="E63" s="371" t="s">
        <v>399</v>
      </c>
      <c r="F63" s="382">
        <v>0.36</v>
      </c>
      <c r="G63" s="373">
        <v>136.84</v>
      </c>
      <c r="H63" s="383">
        <f aca="true" t="shared" si="8" ref="H63:H64">ROUND(G63*F63,2)</f>
        <v>49.26</v>
      </c>
    </row>
    <row r="64" spans="1:8" ht="14.25">
      <c r="A64" s="380" t="s">
        <v>481</v>
      </c>
      <c r="B64" s="368" t="s">
        <v>556</v>
      </c>
      <c r="C64" s="381">
        <v>3196</v>
      </c>
      <c r="D64" s="370" t="s">
        <v>584</v>
      </c>
      <c r="E64" s="371" t="s">
        <v>399</v>
      </c>
      <c r="F64" s="382">
        <v>0.36</v>
      </c>
      <c r="G64" s="373">
        <v>96.02</v>
      </c>
      <c r="H64" s="383">
        <f t="shared" si="8"/>
        <v>34.57</v>
      </c>
    </row>
    <row r="65" spans="1:8" ht="15" thickBot="1">
      <c r="A65" s="375" t="s">
        <v>551</v>
      </c>
      <c r="B65" s="807" t="s">
        <v>585</v>
      </c>
      <c r="C65" s="808"/>
      <c r="D65" s="808"/>
      <c r="E65" s="809"/>
      <c r="F65" s="384"/>
      <c r="G65" s="377" t="s">
        <v>552</v>
      </c>
      <c r="H65" s="385">
        <f>SUM(H51:H64)</f>
        <v>1192.71</v>
      </c>
    </row>
    <row r="66" spans="1:8" ht="15" thickBot="1">
      <c r="A66" s="355"/>
      <c r="B66" s="355"/>
      <c r="C66" s="355"/>
      <c r="D66" s="355"/>
      <c r="E66" s="386"/>
      <c r="F66" s="387"/>
      <c r="G66" s="355"/>
      <c r="H66" s="386"/>
    </row>
    <row r="67" spans="1:8" ht="18">
      <c r="A67" s="811">
        <v>8</v>
      </c>
      <c r="B67" s="812"/>
      <c r="C67" s="812"/>
      <c r="D67" s="812"/>
      <c r="E67" s="812"/>
      <c r="F67" s="813"/>
      <c r="G67" s="358" t="s">
        <v>538</v>
      </c>
      <c r="H67" s="359" t="str">
        <f>UPPER(VLOOKUP(B68,'[3]Orçamento'!D:I,2,0))</f>
        <v>UN</v>
      </c>
    </row>
    <row r="68" spans="1:8" ht="14.25">
      <c r="A68" s="360" t="s">
        <v>539</v>
      </c>
      <c r="B68" s="804" t="s">
        <v>586</v>
      </c>
      <c r="C68" s="805"/>
      <c r="D68" s="805"/>
      <c r="E68" s="805"/>
      <c r="F68" s="805"/>
      <c r="G68" s="805"/>
      <c r="H68" s="806"/>
    </row>
    <row r="69" spans="1:8" ht="14.25">
      <c r="A69" s="361" t="s">
        <v>541</v>
      </c>
      <c r="B69" s="362" t="s">
        <v>542</v>
      </c>
      <c r="C69" s="363" t="s">
        <v>543</v>
      </c>
      <c r="D69" s="364" t="s">
        <v>544</v>
      </c>
      <c r="E69" s="363" t="s">
        <v>545</v>
      </c>
      <c r="F69" s="379" t="s">
        <v>546</v>
      </c>
      <c r="G69" s="363" t="s">
        <v>547</v>
      </c>
      <c r="H69" s="366" t="s">
        <v>548</v>
      </c>
    </row>
    <row r="70" spans="1:8" ht="28.5">
      <c r="A70" s="380" t="s">
        <v>419</v>
      </c>
      <c r="B70" s="368" t="s">
        <v>549</v>
      </c>
      <c r="C70" s="381" t="s">
        <v>587</v>
      </c>
      <c r="D70" s="370" t="s">
        <v>588</v>
      </c>
      <c r="E70" s="371" t="s">
        <v>399</v>
      </c>
      <c r="F70" s="382">
        <v>3.78</v>
      </c>
      <c r="G70" s="373">
        <v>400.49</v>
      </c>
      <c r="H70" s="383">
        <f aca="true" t="shared" si="9" ref="H70">ROUND(G70*F70,2)</f>
        <v>1513.85</v>
      </c>
    </row>
    <row r="71" spans="1:8" ht="57">
      <c r="A71" s="380" t="s">
        <v>419</v>
      </c>
      <c r="B71" s="368" t="s">
        <v>549</v>
      </c>
      <c r="C71" s="381">
        <v>90830</v>
      </c>
      <c r="D71" s="370" t="s">
        <v>571</v>
      </c>
      <c r="E71" s="371" t="s">
        <v>38</v>
      </c>
      <c r="F71" s="382">
        <v>1</v>
      </c>
      <c r="G71" s="373">
        <v>74.03</v>
      </c>
      <c r="H71" s="383">
        <f>ROUND(G71*F71,2)</f>
        <v>74.03</v>
      </c>
    </row>
    <row r="72" spans="1:8" ht="28.5">
      <c r="A72" s="380" t="s">
        <v>471</v>
      </c>
      <c r="B72" s="368" t="s">
        <v>549</v>
      </c>
      <c r="C72" s="381" t="s">
        <v>572</v>
      </c>
      <c r="D72" s="370" t="s">
        <v>573</v>
      </c>
      <c r="E72" s="371" t="s">
        <v>26</v>
      </c>
      <c r="F72" s="382">
        <v>6</v>
      </c>
      <c r="G72" s="373">
        <v>38.85</v>
      </c>
      <c r="H72" s="383">
        <f>ROUND(G72*F72,2)</f>
        <v>233.1</v>
      </c>
    </row>
    <row r="73" spans="1:8" ht="42.75">
      <c r="A73" s="380" t="s">
        <v>419</v>
      </c>
      <c r="B73" s="368" t="s">
        <v>556</v>
      </c>
      <c r="C73" s="381">
        <v>40555</v>
      </c>
      <c r="D73" s="370" t="s">
        <v>575</v>
      </c>
      <c r="E73" s="371" t="s">
        <v>26</v>
      </c>
      <c r="F73" s="382">
        <v>12</v>
      </c>
      <c r="G73" s="373">
        <v>17.69</v>
      </c>
      <c r="H73" s="383">
        <f aca="true" t="shared" si="10" ref="H73:H75">ROUND(G73*F73,2)</f>
        <v>212.28</v>
      </c>
    </row>
    <row r="74" spans="1:8" ht="28.5">
      <c r="A74" s="380" t="s">
        <v>419</v>
      </c>
      <c r="B74" s="368" t="s">
        <v>549</v>
      </c>
      <c r="C74" s="381">
        <v>84959</v>
      </c>
      <c r="D74" s="370" t="s">
        <v>589</v>
      </c>
      <c r="E74" s="371" t="s">
        <v>399</v>
      </c>
      <c r="F74" s="382">
        <v>0.65</v>
      </c>
      <c r="G74" s="373">
        <v>160.17</v>
      </c>
      <c r="H74" s="383">
        <f t="shared" si="10"/>
        <v>104.11</v>
      </c>
    </row>
    <row r="75" spans="1:8" ht="14.25">
      <c r="A75" s="380" t="s">
        <v>481</v>
      </c>
      <c r="B75" s="368" t="s">
        <v>556</v>
      </c>
      <c r="C75" s="381">
        <v>3196</v>
      </c>
      <c r="D75" s="370" t="s">
        <v>584</v>
      </c>
      <c r="E75" s="371" t="s">
        <v>399</v>
      </c>
      <c r="F75" s="382">
        <v>0.65</v>
      </c>
      <c r="G75" s="373">
        <v>96.02</v>
      </c>
      <c r="H75" s="383">
        <f t="shared" si="10"/>
        <v>62.41</v>
      </c>
    </row>
    <row r="76" spans="1:8" ht="14.25">
      <c r="A76" s="388" t="s">
        <v>583</v>
      </c>
      <c r="B76" s="389"/>
      <c r="C76" s="390"/>
      <c r="D76" s="391"/>
      <c r="E76" s="392"/>
      <c r="F76" s="393"/>
      <c r="G76" s="394"/>
      <c r="H76" s="395"/>
    </row>
    <row r="77" spans="1:8" ht="28.5">
      <c r="A77" s="380" t="s">
        <v>471</v>
      </c>
      <c r="B77" s="368" t="s">
        <v>549</v>
      </c>
      <c r="C77" s="381" t="s">
        <v>572</v>
      </c>
      <c r="D77" s="370" t="s">
        <v>573</v>
      </c>
      <c r="E77" s="371" t="s">
        <v>26</v>
      </c>
      <c r="F77" s="382">
        <v>4.4</v>
      </c>
      <c r="G77" s="373">
        <v>38.85</v>
      </c>
      <c r="H77" s="383">
        <f>ROUND(G77*F77,2)</f>
        <v>170.94</v>
      </c>
    </row>
    <row r="78" spans="1:8" ht="28.5">
      <c r="A78" s="380" t="s">
        <v>419</v>
      </c>
      <c r="B78" s="368" t="s">
        <v>549</v>
      </c>
      <c r="C78" s="381">
        <v>84957</v>
      </c>
      <c r="D78" s="370" t="s">
        <v>590</v>
      </c>
      <c r="E78" s="371" t="s">
        <v>399</v>
      </c>
      <c r="F78" s="382">
        <v>0.58</v>
      </c>
      <c r="G78" s="373">
        <v>136.84</v>
      </c>
      <c r="H78" s="383">
        <f aca="true" t="shared" si="11" ref="H78:H79">ROUND(G78*F78,2)</f>
        <v>79.37</v>
      </c>
    </row>
    <row r="79" spans="1:8" ht="14.25">
      <c r="A79" s="380" t="s">
        <v>481</v>
      </c>
      <c r="B79" s="368" t="s">
        <v>556</v>
      </c>
      <c r="C79" s="381">
        <v>3196</v>
      </c>
      <c r="D79" s="370" t="s">
        <v>584</v>
      </c>
      <c r="E79" s="371" t="s">
        <v>399</v>
      </c>
      <c r="F79" s="382">
        <v>0.58</v>
      </c>
      <c r="G79" s="373">
        <v>96.02</v>
      </c>
      <c r="H79" s="383">
        <f t="shared" si="11"/>
        <v>55.69</v>
      </c>
    </row>
    <row r="80" spans="1:8" ht="15" thickBot="1">
      <c r="A80" s="375" t="s">
        <v>551</v>
      </c>
      <c r="B80" s="807" t="s">
        <v>591</v>
      </c>
      <c r="C80" s="808"/>
      <c r="D80" s="808"/>
      <c r="E80" s="809"/>
      <c r="F80" s="384"/>
      <c r="G80" s="377" t="s">
        <v>552</v>
      </c>
      <c r="H80" s="385">
        <f>SUM(H70:H79)</f>
        <v>2505.7799999999997</v>
      </c>
    </row>
    <row r="81" spans="1:8" ht="15" thickBot="1">
      <c r="A81" s="355"/>
      <c r="B81" s="355"/>
      <c r="C81" s="355"/>
      <c r="D81" s="355"/>
      <c r="E81" s="386"/>
      <c r="F81" s="387"/>
      <c r="G81" s="355"/>
      <c r="H81" s="386"/>
    </row>
    <row r="82" spans="1:8" ht="18">
      <c r="A82" s="811">
        <v>9</v>
      </c>
      <c r="B82" s="812"/>
      <c r="C82" s="812"/>
      <c r="D82" s="812"/>
      <c r="E82" s="812"/>
      <c r="F82" s="813"/>
      <c r="G82" s="358" t="s">
        <v>538</v>
      </c>
      <c r="H82" s="359" t="str">
        <f>UPPER(VLOOKUP(B83,'[3]Orçamento'!D:I,2,0))</f>
        <v>UN</v>
      </c>
    </row>
    <row r="83" spans="1:8" ht="14.25">
      <c r="A83" s="360" t="s">
        <v>539</v>
      </c>
      <c r="B83" s="804" t="s">
        <v>592</v>
      </c>
      <c r="C83" s="805"/>
      <c r="D83" s="805"/>
      <c r="E83" s="805"/>
      <c r="F83" s="805"/>
      <c r="G83" s="805"/>
      <c r="H83" s="806"/>
    </row>
    <row r="84" spans="1:8" ht="14.25">
      <c r="A84" s="361" t="s">
        <v>541</v>
      </c>
      <c r="B84" s="362" t="s">
        <v>542</v>
      </c>
      <c r="C84" s="363" t="s">
        <v>543</v>
      </c>
      <c r="D84" s="364" t="s">
        <v>544</v>
      </c>
      <c r="E84" s="363" t="s">
        <v>545</v>
      </c>
      <c r="F84" s="379" t="s">
        <v>546</v>
      </c>
      <c r="G84" s="363" t="s">
        <v>547</v>
      </c>
      <c r="H84" s="366" t="s">
        <v>548</v>
      </c>
    </row>
    <row r="85" spans="1:8" ht="28.5">
      <c r="A85" s="380" t="s">
        <v>419</v>
      </c>
      <c r="B85" s="368" t="s">
        <v>549</v>
      </c>
      <c r="C85" s="381" t="s">
        <v>587</v>
      </c>
      <c r="D85" s="370" t="s">
        <v>588</v>
      </c>
      <c r="E85" s="371" t="s">
        <v>399</v>
      </c>
      <c r="F85" s="382">
        <v>1.89</v>
      </c>
      <c r="G85" s="373">
        <v>400.49</v>
      </c>
      <c r="H85" s="383">
        <f aca="true" t="shared" si="12" ref="H85">ROUND(G85*F85,2)</f>
        <v>756.93</v>
      </c>
    </row>
    <row r="86" spans="1:8" ht="57">
      <c r="A86" s="380" t="s">
        <v>419</v>
      </c>
      <c r="B86" s="368" t="s">
        <v>549</v>
      </c>
      <c r="C86" s="381">
        <v>90830</v>
      </c>
      <c r="D86" s="370" t="s">
        <v>571</v>
      </c>
      <c r="E86" s="371" t="s">
        <v>38</v>
      </c>
      <c r="F86" s="382">
        <v>1</v>
      </c>
      <c r="G86" s="373">
        <v>74.03</v>
      </c>
      <c r="H86" s="383">
        <f>ROUND(G86*F86,2)</f>
        <v>74.03</v>
      </c>
    </row>
    <row r="87" spans="1:8" ht="28.5">
      <c r="A87" s="380" t="s">
        <v>471</v>
      </c>
      <c r="B87" s="368" t="s">
        <v>549</v>
      </c>
      <c r="C87" s="381" t="s">
        <v>572</v>
      </c>
      <c r="D87" s="370" t="s">
        <v>573</v>
      </c>
      <c r="E87" s="371" t="s">
        <v>26</v>
      </c>
      <c r="F87" s="382">
        <v>5.1</v>
      </c>
      <c r="G87" s="373">
        <v>38.85</v>
      </c>
      <c r="H87" s="383">
        <f>ROUND(G87*F87,2)</f>
        <v>198.14</v>
      </c>
    </row>
    <row r="88" spans="1:8" ht="42.75">
      <c r="A88" s="380" t="s">
        <v>419</v>
      </c>
      <c r="B88" s="368" t="s">
        <v>556</v>
      </c>
      <c r="C88" s="381">
        <v>40555</v>
      </c>
      <c r="D88" s="370" t="s">
        <v>575</v>
      </c>
      <c r="E88" s="371" t="s">
        <v>26</v>
      </c>
      <c r="F88" s="382">
        <v>10.2</v>
      </c>
      <c r="G88" s="373">
        <v>17.69</v>
      </c>
      <c r="H88" s="383">
        <f aca="true" t="shared" si="13" ref="H88:H89">ROUND(G88*F88,2)</f>
        <v>180.44</v>
      </c>
    </row>
    <row r="89" spans="1:8" ht="28.5">
      <c r="A89" s="380" t="s">
        <v>419</v>
      </c>
      <c r="B89" s="368" t="s">
        <v>549</v>
      </c>
      <c r="C89" s="381">
        <v>84957</v>
      </c>
      <c r="D89" s="370" t="s">
        <v>590</v>
      </c>
      <c r="E89" s="371" t="s">
        <v>399</v>
      </c>
      <c r="F89" s="382">
        <v>0.19</v>
      </c>
      <c r="G89" s="373">
        <v>136.84</v>
      </c>
      <c r="H89" s="383">
        <f t="shared" si="13"/>
        <v>26</v>
      </c>
    </row>
    <row r="90" spans="1:8" ht="15" thickBot="1">
      <c r="A90" s="375" t="s">
        <v>551</v>
      </c>
      <c r="B90" s="807" t="s">
        <v>472</v>
      </c>
      <c r="C90" s="808"/>
      <c r="D90" s="808"/>
      <c r="E90" s="809"/>
      <c r="F90" s="384"/>
      <c r="G90" s="377" t="s">
        <v>552</v>
      </c>
      <c r="H90" s="385">
        <f>SUM(H85:H89)</f>
        <v>1235.54</v>
      </c>
    </row>
    <row r="91" spans="1:8" ht="15" thickBot="1">
      <c r="A91" s="355"/>
      <c r="B91" s="355"/>
      <c r="C91" s="355"/>
      <c r="D91" s="355"/>
      <c r="E91" s="386"/>
      <c r="F91" s="387"/>
      <c r="G91" s="355"/>
      <c r="H91" s="386"/>
    </row>
    <row r="92" spans="1:8" ht="18">
      <c r="A92" s="811">
        <v>10</v>
      </c>
      <c r="B92" s="812"/>
      <c r="C92" s="812"/>
      <c r="D92" s="812"/>
      <c r="E92" s="812"/>
      <c r="F92" s="813"/>
      <c r="G92" s="358" t="s">
        <v>538</v>
      </c>
      <c r="H92" s="359" t="str">
        <f>UPPER(VLOOKUP(B93,'[3]Orçamento'!D:I,2,0))</f>
        <v>UN</v>
      </c>
    </row>
    <row r="93" spans="1:8" ht="14.25">
      <c r="A93" s="360" t="s">
        <v>539</v>
      </c>
      <c r="B93" s="804" t="s">
        <v>593</v>
      </c>
      <c r="C93" s="805"/>
      <c r="D93" s="805"/>
      <c r="E93" s="805"/>
      <c r="F93" s="805"/>
      <c r="G93" s="805"/>
      <c r="H93" s="806"/>
    </row>
    <row r="94" spans="1:8" ht="14.25">
      <c r="A94" s="361" t="s">
        <v>541</v>
      </c>
      <c r="B94" s="362" t="s">
        <v>542</v>
      </c>
      <c r="C94" s="363" t="s">
        <v>543</v>
      </c>
      <c r="D94" s="364" t="s">
        <v>544</v>
      </c>
      <c r="E94" s="363" t="s">
        <v>545</v>
      </c>
      <c r="F94" s="379" t="s">
        <v>546</v>
      </c>
      <c r="G94" s="363" t="s">
        <v>547</v>
      </c>
      <c r="H94" s="366" t="s">
        <v>548</v>
      </c>
    </row>
    <row r="95" spans="1:8" ht="28.5">
      <c r="A95" s="380" t="s">
        <v>419</v>
      </c>
      <c r="B95" s="368" t="s">
        <v>549</v>
      </c>
      <c r="C95" s="381" t="s">
        <v>587</v>
      </c>
      <c r="D95" s="370" t="s">
        <v>588</v>
      </c>
      <c r="E95" s="371" t="s">
        <v>399</v>
      </c>
      <c r="F95" s="382">
        <v>3.78</v>
      </c>
      <c r="G95" s="373">
        <v>400.49</v>
      </c>
      <c r="H95" s="383">
        <f aca="true" t="shared" si="14" ref="H95">ROUND(G95*F95,2)</f>
        <v>1513.85</v>
      </c>
    </row>
    <row r="96" spans="1:8" ht="57">
      <c r="A96" s="380" t="s">
        <v>419</v>
      </c>
      <c r="B96" s="368" t="s">
        <v>549</v>
      </c>
      <c r="C96" s="381">
        <v>90830</v>
      </c>
      <c r="D96" s="370" t="s">
        <v>571</v>
      </c>
      <c r="E96" s="371" t="s">
        <v>38</v>
      </c>
      <c r="F96" s="382">
        <v>1</v>
      </c>
      <c r="G96" s="373">
        <v>74.03</v>
      </c>
      <c r="H96" s="383">
        <f>ROUND(G96*F96,2)</f>
        <v>74.03</v>
      </c>
    </row>
    <row r="97" spans="1:8" ht="28.5">
      <c r="A97" s="380" t="s">
        <v>471</v>
      </c>
      <c r="B97" s="368" t="s">
        <v>549</v>
      </c>
      <c r="C97" s="381" t="s">
        <v>572</v>
      </c>
      <c r="D97" s="370" t="s">
        <v>573</v>
      </c>
      <c r="E97" s="371" t="s">
        <v>26</v>
      </c>
      <c r="F97" s="382">
        <v>6</v>
      </c>
      <c r="G97" s="373">
        <v>38.85</v>
      </c>
      <c r="H97" s="383">
        <f>ROUND(G97*F97,2)</f>
        <v>233.1</v>
      </c>
    </row>
    <row r="98" spans="1:8" ht="42.75">
      <c r="A98" s="380" t="s">
        <v>419</v>
      </c>
      <c r="B98" s="368" t="s">
        <v>556</v>
      </c>
      <c r="C98" s="381">
        <v>40555</v>
      </c>
      <c r="D98" s="370" t="s">
        <v>575</v>
      </c>
      <c r="E98" s="371" t="s">
        <v>26</v>
      </c>
      <c r="F98" s="382">
        <v>10.2</v>
      </c>
      <c r="G98" s="373">
        <v>17.69</v>
      </c>
      <c r="H98" s="383">
        <f aca="true" t="shared" si="15" ref="H98:H101">ROUND(G98*F98,2)</f>
        <v>180.44</v>
      </c>
    </row>
    <row r="99" spans="1:8" ht="14.25">
      <c r="A99" s="388" t="s">
        <v>594</v>
      </c>
      <c r="B99" s="389"/>
      <c r="C99" s="390"/>
      <c r="D99" s="391"/>
      <c r="E99" s="392"/>
      <c r="F99" s="393"/>
      <c r="G99" s="394"/>
      <c r="H99" s="395"/>
    </row>
    <row r="100" spans="1:8" ht="14.25">
      <c r="A100" s="380" t="s">
        <v>419</v>
      </c>
      <c r="B100" s="368" t="s">
        <v>549</v>
      </c>
      <c r="C100" s="381">
        <v>88261</v>
      </c>
      <c r="D100" s="370" t="s">
        <v>595</v>
      </c>
      <c r="E100" s="371" t="s">
        <v>88</v>
      </c>
      <c r="F100" s="382">
        <v>2</v>
      </c>
      <c r="G100" s="373">
        <v>14.99</v>
      </c>
      <c r="H100" s="383">
        <f t="shared" si="15"/>
        <v>29.98</v>
      </c>
    </row>
    <row r="101" spans="1:8" ht="14.25">
      <c r="A101" s="380" t="s">
        <v>419</v>
      </c>
      <c r="B101" s="368" t="s">
        <v>549</v>
      </c>
      <c r="C101" s="381">
        <v>88239</v>
      </c>
      <c r="D101" s="370" t="s">
        <v>596</v>
      </c>
      <c r="E101" s="371" t="s">
        <v>88</v>
      </c>
      <c r="F101" s="382">
        <v>1</v>
      </c>
      <c r="G101" s="373">
        <v>12.48</v>
      </c>
      <c r="H101" s="383">
        <f t="shared" si="15"/>
        <v>12.48</v>
      </c>
    </row>
    <row r="102" spans="1:8" ht="14.25">
      <c r="A102" s="380" t="s">
        <v>419</v>
      </c>
      <c r="B102" s="368" t="s">
        <v>549</v>
      </c>
      <c r="C102" s="381">
        <v>88278</v>
      </c>
      <c r="D102" s="370" t="s">
        <v>597</v>
      </c>
      <c r="E102" s="371" t="s">
        <v>88</v>
      </c>
      <c r="F102" s="382">
        <v>0.5</v>
      </c>
      <c r="G102" s="373">
        <v>10.7</v>
      </c>
      <c r="H102" s="383">
        <f>ROUND(G102*F102,2)</f>
        <v>5.35</v>
      </c>
    </row>
    <row r="103" spans="1:8" ht="28.5">
      <c r="A103" s="380" t="s">
        <v>419</v>
      </c>
      <c r="B103" s="368" t="s">
        <v>556</v>
      </c>
      <c r="C103" s="381">
        <v>39620</v>
      </c>
      <c r="D103" s="370" t="s">
        <v>598</v>
      </c>
      <c r="E103" s="371" t="s">
        <v>38</v>
      </c>
      <c r="F103" s="382">
        <v>2</v>
      </c>
      <c r="G103" s="373">
        <v>512.19</v>
      </c>
      <c r="H103" s="383">
        <f>ROUND(G103*F103,2)</f>
        <v>1024.38</v>
      </c>
    </row>
    <row r="104" spans="1:8" ht="15" thickBot="1">
      <c r="A104" s="375" t="s">
        <v>551</v>
      </c>
      <c r="B104" s="807" t="s">
        <v>472</v>
      </c>
      <c r="C104" s="808"/>
      <c r="D104" s="808"/>
      <c r="E104" s="809"/>
      <c r="F104" s="384"/>
      <c r="G104" s="377" t="s">
        <v>552</v>
      </c>
      <c r="H104" s="385">
        <f>SUM(H95:H103)</f>
        <v>3073.61</v>
      </c>
    </row>
    <row r="105" spans="1:8" ht="15" thickBot="1">
      <c r="A105" s="355"/>
      <c r="B105" s="355"/>
      <c r="C105" s="355"/>
      <c r="D105" s="355"/>
      <c r="E105" s="355"/>
      <c r="F105" s="355"/>
      <c r="G105" s="355"/>
      <c r="H105" s="355"/>
    </row>
    <row r="106" spans="1:8" ht="18">
      <c r="A106" s="811">
        <v>11</v>
      </c>
      <c r="B106" s="812"/>
      <c r="C106" s="812"/>
      <c r="D106" s="812"/>
      <c r="E106" s="812"/>
      <c r="F106" s="813"/>
      <c r="G106" s="358" t="s">
        <v>538</v>
      </c>
      <c r="H106" s="359" t="str">
        <f>UPPER(VLOOKUP(B107,'[3]Orçamento'!D:I,2,0))</f>
        <v>UN</v>
      </c>
    </row>
    <row r="107" spans="1:8" ht="14.25">
      <c r="A107" s="360" t="s">
        <v>539</v>
      </c>
      <c r="B107" s="804" t="s">
        <v>473</v>
      </c>
      <c r="C107" s="805"/>
      <c r="D107" s="805"/>
      <c r="E107" s="805"/>
      <c r="F107" s="805"/>
      <c r="G107" s="805"/>
      <c r="H107" s="806"/>
    </row>
    <row r="108" spans="1:8" ht="14.25">
      <c r="A108" s="361" t="s">
        <v>541</v>
      </c>
      <c r="B108" s="362" t="s">
        <v>542</v>
      </c>
      <c r="C108" s="363" t="s">
        <v>543</v>
      </c>
      <c r="D108" s="364" t="s">
        <v>544</v>
      </c>
      <c r="E108" s="363" t="s">
        <v>545</v>
      </c>
      <c r="F108" s="379" t="s">
        <v>546</v>
      </c>
      <c r="G108" s="363" t="s">
        <v>547</v>
      </c>
      <c r="H108" s="366" t="s">
        <v>548</v>
      </c>
    </row>
    <row r="109" spans="1:8" ht="14.25">
      <c r="A109" s="380" t="s">
        <v>419</v>
      </c>
      <c r="B109" s="368" t="s">
        <v>549</v>
      </c>
      <c r="C109" s="381">
        <v>88267</v>
      </c>
      <c r="D109" s="370" t="s">
        <v>599</v>
      </c>
      <c r="E109" s="371" t="s">
        <v>88</v>
      </c>
      <c r="F109" s="382">
        <v>0.3</v>
      </c>
      <c r="G109" s="373">
        <v>15.15</v>
      </c>
      <c r="H109" s="383">
        <f aca="true" t="shared" si="16" ref="H109:H110">ROUND(G109*F109,2)</f>
        <v>4.55</v>
      </c>
    </row>
    <row r="110" spans="1:8" ht="28.5">
      <c r="A110" s="380" t="s">
        <v>419</v>
      </c>
      <c r="B110" s="368" t="s">
        <v>556</v>
      </c>
      <c r="C110" s="381">
        <v>38190</v>
      </c>
      <c r="D110" s="370" t="s">
        <v>600</v>
      </c>
      <c r="E110" s="371" t="s">
        <v>38</v>
      </c>
      <c r="F110" s="382">
        <v>1</v>
      </c>
      <c r="G110" s="373">
        <v>299.43</v>
      </c>
      <c r="H110" s="383">
        <f t="shared" si="16"/>
        <v>299.43</v>
      </c>
    </row>
    <row r="111" spans="1:8" ht="15" thickBot="1">
      <c r="A111" s="375" t="s">
        <v>551</v>
      </c>
      <c r="B111" s="807" t="s">
        <v>601</v>
      </c>
      <c r="C111" s="808"/>
      <c r="D111" s="808"/>
      <c r="E111" s="809"/>
      <c r="F111" s="384"/>
      <c r="G111" s="377" t="s">
        <v>552</v>
      </c>
      <c r="H111" s="385">
        <f>SUM(H109:H110)</f>
        <v>303.98</v>
      </c>
    </row>
    <row r="112" spans="1:8" ht="15" thickBot="1">
      <c r="A112" s="355"/>
      <c r="B112" s="355"/>
      <c r="C112" s="355"/>
      <c r="D112" s="355"/>
      <c r="E112" s="355"/>
      <c r="F112" s="355"/>
      <c r="G112" s="355"/>
      <c r="H112" s="355"/>
    </row>
    <row r="113" spans="1:8" ht="18">
      <c r="A113" s="811">
        <v>12</v>
      </c>
      <c r="B113" s="812"/>
      <c r="C113" s="812"/>
      <c r="D113" s="812"/>
      <c r="E113" s="812"/>
      <c r="F113" s="813"/>
      <c r="G113" s="358" t="s">
        <v>538</v>
      </c>
      <c r="H113" s="359" t="str">
        <f>UPPER(VLOOKUP(B114,'[3]Orçamento'!D:I,2,0))</f>
        <v>UN</v>
      </c>
    </row>
    <row r="114" spans="1:8" ht="14.25">
      <c r="A114" s="360" t="s">
        <v>539</v>
      </c>
      <c r="B114" s="804" t="s">
        <v>475</v>
      </c>
      <c r="C114" s="805"/>
      <c r="D114" s="805"/>
      <c r="E114" s="805"/>
      <c r="F114" s="805"/>
      <c r="G114" s="805"/>
      <c r="H114" s="806"/>
    </row>
    <row r="115" spans="1:8" ht="14.25">
      <c r="A115" s="361" t="s">
        <v>541</v>
      </c>
      <c r="B115" s="362" t="s">
        <v>542</v>
      </c>
      <c r="C115" s="363" t="s">
        <v>543</v>
      </c>
      <c r="D115" s="364" t="s">
        <v>544</v>
      </c>
      <c r="E115" s="363" t="s">
        <v>545</v>
      </c>
      <c r="F115" s="379" t="s">
        <v>546</v>
      </c>
      <c r="G115" s="363" t="s">
        <v>547</v>
      </c>
      <c r="H115" s="366" t="s">
        <v>548</v>
      </c>
    </row>
    <row r="116" spans="1:8" ht="42.75">
      <c r="A116" s="380" t="s">
        <v>419</v>
      </c>
      <c r="B116" s="368" t="s">
        <v>549</v>
      </c>
      <c r="C116" s="381">
        <v>88248</v>
      </c>
      <c r="D116" s="370" t="s">
        <v>562</v>
      </c>
      <c r="E116" s="371" t="s">
        <v>88</v>
      </c>
      <c r="F116" s="382">
        <v>0.4</v>
      </c>
      <c r="G116" s="373">
        <v>12.48</v>
      </c>
      <c r="H116" s="383">
        <f>ROUND(G116*F116,2)</f>
        <v>4.99</v>
      </c>
    </row>
    <row r="117" spans="1:8" ht="14.25">
      <c r="A117" s="380" t="s">
        <v>419</v>
      </c>
      <c r="B117" s="368" t="s">
        <v>549</v>
      </c>
      <c r="C117" s="381">
        <v>88267</v>
      </c>
      <c r="D117" s="370" t="s">
        <v>554</v>
      </c>
      <c r="E117" s="371" t="s">
        <v>88</v>
      </c>
      <c r="F117" s="382">
        <v>0.4</v>
      </c>
      <c r="G117" s="373">
        <v>15.15</v>
      </c>
      <c r="H117" s="383">
        <f aca="true" t="shared" si="17" ref="H117:H119">ROUND(G117*F117,2)</f>
        <v>6.06</v>
      </c>
    </row>
    <row r="118" spans="1:8" ht="14.25">
      <c r="A118" s="380" t="s">
        <v>419</v>
      </c>
      <c r="B118" s="368" t="s">
        <v>556</v>
      </c>
      <c r="C118" s="381">
        <v>3148</v>
      </c>
      <c r="D118" s="370" t="s">
        <v>563</v>
      </c>
      <c r="E118" s="371" t="s">
        <v>38</v>
      </c>
      <c r="F118" s="382">
        <v>0.02</v>
      </c>
      <c r="G118" s="373">
        <v>9.51</v>
      </c>
      <c r="H118" s="383">
        <f t="shared" si="17"/>
        <v>0.19</v>
      </c>
    </row>
    <row r="119" spans="1:8" ht="42.75">
      <c r="A119" s="380" t="s">
        <v>419</v>
      </c>
      <c r="B119" s="368" t="s">
        <v>556</v>
      </c>
      <c r="C119" s="381">
        <v>37587</v>
      </c>
      <c r="D119" s="370" t="s">
        <v>602</v>
      </c>
      <c r="E119" s="371" t="s">
        <v>38</v>
      </c>
      <c r="F119" s="382">
        <v>1</v>
      </c>
      <c r="G119" s="373">
        <v>164.87</v>
      </c>
      <c r="H119" s="383">
        <f t="shared" si="17"/>
        <v>164.87</v>
      </c>
    </row>
    <row r="120" spans="1:8" ht="15" thickBot="1">
      <c r="A120" s="375" t="s">
        <v>551</v>
      </c>
      <c r="B120" s="807" t="s">
        <v>603</v>
      </c>
      <c r="C120" s="808"/>
      <c r="D120" s="808"/>
      <c r="E120" s="809"/>
      <c r="F120" s="384"/>
      <c r="G120" s="377" t="s">
        <v>552</v>
      </c>
      <c r="H120" s="385">
        <f>SUM(H116:H119)</f>
        <v>176.11</v>
      </c>
    </row>
    <row r="121" spans="1:8" ht="15" thickBot="1">
      <c r="A121" s="355"/>
      <c r="B121" s="355"/>
      <c r="C121" s="355"/>
      <c r="D121" s="355"/>
      <c r="E121" s="355"/>
      <c r="F121" s="355"/>
      <c r="G121" s="355"/>
      <c r="H121" s="355"/>
    </row>
    <row r="122" spans="1:8" ht="18">
      <c r="A122" s="811">
        <v>13</v>
      </c>
      <c r="B122" s="812"/>
      <c r="C122" s="812"/>
      <c r="D122" s="812"/>
      <c r="E122" s="812"/>
      <c r="F122" s="813"/>
      <c r="G122" s="358" t="s">
        <v>538</v>
      </c>
      <c r="H122" s="359" t="str">
        <f>UPPER(VLOOKUP(B123,'[3]Orçamento'!D:I,2,0))</f>
        <v>UN</v>
      </c>
    </row>
    <row r="123" spans="1:8" ht="14.25">
      <c r="A123" s="360" t="s">
        <v>539</v>
      </c>
      <c r="B123" s="804" t="s">
        <v>484</v>
      </c>
      <c r="C123" s="805"/>
      <c r="D123" s="805"/>
      <c r="E123" s="805"/>
      <c r="F123" s="805"/>
      <c r="G123" s="805"/>
      <c r="H123" s="806"/>
    </row>
    <row r="124" spans="1:8" ht="14.25">
      <c r="A124" s="361" t="s">
        <v>541</v>
      </c>
      <c r="B124" s="362" t="s">
        <v>542</v>
      </c>
      <c r="C124" s="363" t="s">
        <v>543</v>
      </c>
      <c r="D124" s="364" t="s">
        <v>544</v>
      </c>
      <c r="E124" s="363" t="s">
        <v>545</v>
      </c>
      <c r="F124" s="379" t="s">
        <v>546</v>
      </c>
      <c r="G124" s="363" t="s">
        <v>547</v>
      </c>
      <c r="H124" s="366" t="s">
        <v>548</v>
      </c>
    </row>
    <row r="125" spans="1:8" ht="14.25">
      <c r="A125" s="380" t="s">
        <v>419</v>
      </c>
      <c r="B125" s="368" t="s">
        <v>549</v>
      </c>
      <c r="C125" s="381">
        <v>88267</v>
      </c>
      <c r="D125" s="370" t="s">
        <v>604</v>
      </c>
      <c r="E125" s="371" t="s">
        <v>88</v>
      </c>
      <c r="F125" s="382">
        <v>2.1</v>
      </c>
      <c r="G125" s="373">
        <v>15.15</v>
      </c>
      <c r="H125" s="383">
        <f aca="true" t="shared" si="18" ref="H125:H133">ROUND(G125*F125,2)</f>
        <v>31.82</v>
      </c>
    </row>
    <row r="126" spans="1:8" ht="28.5">
      <c r="A126" s="380" t="s">
        <v>419</v>
      </c>
      <c r="B126" s="368" t="s">
        <v>549</v>
      </c>
      <c r="C126" s="381">
        <v>88248</v>
      </c>
      <c r="D126" s="370" t="s">
        <v>605</v>
      </c>
      <c r="E126" s="371" t="s">
        <v>88</v>
      </c>
      <c r="F126" s="382">
        <v>2</v>
      </c>
      <c r="G126" s="373">
        <v>12.48</v>
      </c>
      <c r="H126" s="383">
        <f>ROUND(G126*F126,2)</f>
        <v>24.96</v>
      </c>
    </row>
    <row r="127" spans="1:8" ht="42.75">
      <c r="A127" s="380" t="s">
        <v>419</v>
      </c>
      <c r="B127" s="368" t="s">
        <v>556</v>
      </c>
      <c r="C127" s="381">
        <v>142</v>
      </c>
      <c r="D127" s="370" t="s">
        <v>606</v>
      </c>
      <c r="E127" s="371" t="s">
        <v>607</v>
      </c>
      <c r="F127" s="382">
        <v>0.32</v>
      </c>
      <c r="G127" s="373">
        <v>30.64</v>
      </c>
      <c r="H127" s="383">
        <f t="shared" si="18"/>
        <v>9.8</v>
      </c>
    </row>
    <row r="128" spans="1:8" ht="14.25">
      <c r="A128" s="380" t="s">
        <v>419</v>
      </c>
      <c r="B128" s="368" t="s">
        <v>556</v>
      </c>
      <c r="C128" s="381">
        <v>1380</v>
      </c>
      <c r="D128" s="370" t="s">
        <v>608</v>
      </c>
      <c r="E128" s="371" t="s">
        <v>54</v>
      </c>
      <c r="F128" s="382">
        <v>0.2</v>
      </c>
      <c r="G128" s="373">
        <v>2.93</v>
      </c>
      <c r="H128" s="383">
        <f t="shared" si="18"/>
        <v>0.59</v>
      </c>
    </row>
    <row r="129" spans="1:8" ht="28.5">
      <c r="A129" s="380" t="s">
        <v>419</v>
      </c>
      <c r="B129" s="368" t="s">
        <v>556</v>
      </c>
      <c r="C129" s="381">
        <v>6138</v>
      </c>
      <c r="D129" s="370" t="s">
        <v>609</v>
      </c>
      <c r="E129" s="371" t="s">
        <v>38</v>
      </c>
      <c r="F129" s="382">
        <v>1</v>
      </c>
      <c r="G129" s="373">
        <v>1.69</v>
      </c>
      <c r="H129" s="383">
        <f t="shared" si="18"/>
        <v>1.69</v>
      </c>
    </row>
    <row r="130" spans="1:8" ht="57">
      <c r="A130" s="380" t="s">
        <v>419</v>
      </c>
      <c r="B130" s="368" t="s">
        <v>556</v>
      </c>
      <c r="C130" s="381">
        <v>4384</v>
      </c>
      <c r="D130" s="370" t="s">
        <v>610</v>
      </c>
      <c r="E130" s="371" t="s">
        <v>38</v>
      </c>
      <c r="F130" s="382">
        <v>2</v>
      </c>
      <c r="G130" s="373">
        <v>7.79</v>
      </c>
      <c r="H130" s="383">
        <f t="shared" si="18"/>
        <v>15.58</v>
      </c>
    </row>
    <row r="131" spans="1:8" ht="42.75">
      <c r="A131" s="380" t="s">
        <v>419</v>
      </c>
      <c r="B131" s="368" t="s">
        <v>556</v>
      </c>
      <c r="C131" s="381">
        <v>36520</v>
      </c>
      <c r="D131" s="370" t="s">
        <v>611</v>
      </c>
      <c r="E131" s="371" t="s">
        <v>38</v>
      </c>
      <c r="F131" s="382">
        <v>1</v>
      </c>
      <c r="G131" s="373">
        <v>466.77</v>
      </c>
      <c r="H131" s="383">
        <f t="shared" si="18"/>
        <v>466.77</v>
      </c>
    </row>
    <row r="132" spans="1:8" ht="28.5">
      <c r="A132" s="380" t="s">
        <v>419</v>
      </c>
      <c r="B132" s="368" t="s">
        <v>556</v>
      </c>
      <c r="C132" s="381">
        <v>377</v>
      </c>
      <c r="D132" s="370" t="s">
        <v>612</v>
      </c>
      <c r="E132" s="371" t="s">
        <v>38</v>
      </c>
      <c r="F132" s="382">
        <v>1</v>
      </c>
      <c r="G132" s="373">
        <v>21.45</v>
      </c>
      <c r="H132" s="383">
        <f t="shared" si="18"/>
        <v>21.45</v>
      </c>
    </row>
    <row r="133" spans="1:8" ht="28.5">
      <c r="A133" s="380" t="s">
        <v>613</v>
      </c>
      <c r="B133" s="368" t="s">
        <v>556</v>
      </c>
      <c r="C133" s="381" t="s">
        <v>614</v>
      </c>
      <c r="D133" s="370" t="s">
        <v>615</v>
      </c>
      <c r="E133" s="371" t="s">
        <v>34</v>
      </c>
      <c r="F133" s="382">
        <v>1</v>
      </c>
      <c r="G133" s="373">
        <v>574.5</v>
      </c>
      <c r="H133" s="383">
        <f t="shared" si="18"/>
        <v>574.5</v>
      </c>
    </row>
    <row r="134" spans="1:8" ht="15" thickBot="1">
      <c r="A134" s="375" t="s">
        <v>551</v>
      </c>
      <c r="B134" s="807" t="s">
        <v>616</v>
      </c>
      <c r="C134" s="808"/>
      <c r="D134" s="808"/>
      <c r="E134" s="809"/>
      <c r="F134" s="384"/>
      <c r="G134" s="377" t="s">
        <v>552</v>
      </c>
      <c r="H134" s="385">
        <f>SUM(H125:H133)</f>
        <v>1147.16</v>
      </c>
    </row>
    <row r="135" spans="1:8" ht="15" thickBot="1">
      <c r="A135" s="355"/>
      <c r="B135" s="355"/>
      <c r="C135" s="355"/>
      <c r="D135" s="355"/>
      <c r="E135" s="355"/>
      <c r="F135" s="355"/>
      <c r="G135" s="355"/>
      <c r="H135" s="355"/>
    </row>
    <row r="136" spans="1:8" ht="18">
      <c r="A136" s="811">
        <v>14</v>
      </c>
      <c r="B136" s="812"/>
      <c r="C136" s="812"/>
      <c r="D136" s="812"/>
      <c r="E136" s="812"/>
      <c r="F136" s="813"/>
      <c r="G136" s="358" t="s">
        <v>538</v>
      </c>
      <c r="H136" s="359" t="str">
        <f>UPPER(VLOOKUP(B137,'[3]Orçamento'!D:I,2,0))</f>
        <v>UN</v>
      </c>
    </row>
    <row r="137" spans="1:8" ht="14.25">
      <c r="A137" s="360" t="s">
        <v>539</v>
      </c>
      <c r="B137" s="804" t="s">
        <v>486</v>
      </c>
      <c r="C137" s="805"/>
      <c r="D137" s="805"/>
      <c r="E137" s="805"/>
      <c r="F137" s="805"/>
      <c r="G137" s="805"/>
      <c r="H137" s="806"/>
    </row>
    <row r="138" spans="1:8" ht="14.25">
      <c r="A138" s="361" t="s">
        <v>541</v>
      </c>
      <c r="B138" s="362" t="s">
        <v>542</v>
      </c>
      <c r="C138" s="363" t="s">
        <v>543</v>
      </c>
      <c r="D138" s="364" t="s">
        <v>544</v>
      </c>
      <c r="E138" s="363" t="s">
        <v>545</v>
      </c>
      <c r="F138" s="379" t="s">
        <v>546</v>
      </c>
      <c r="G138" s="363" t="s">
        <v>547</v>
      </c>
      <c r="H138" s="366" t="s">
        <v>548</v>
      </c>
    </row>
    <row r="139" spans="1:8" ht="14.25">
      <c r="A139" s="380" t="s">
        <v>419</v>
      </c>
      <c r="B139" s="368" t="s">
        <v>549</v>
      </c>
      <c r="C139" s="381">
        <v>88309</v>
      </c>
      <c r="D139" s="370" t="s">
        <v>617</v>
      </c>
      <c r="E139" s="371" t="s">
        <v>88</v>
      </c>
      <c r="F139" s="382">
        <v>0.3</v>
      </c>
      <c r="G139" s="373">
        <v>15.15</v>
      </c>
      <c r="H139" s="383">
        <f aca="true" t="shared" si="19" ref="H139:H141">ROUND(G139*F139,2)</f>
        <v>4.55</v>
      </c>
    </row>
    <row r="140" spans="1:8" ht="28.5">
      <c r="A140" s="380" t="s">
        <v>419</v>
      </c>
      <c r="B140" s="368" t="s">
        <v>549</v>
      </c>
      <c r="C140" s="381">
        <v>88629</v>
      </c>
      <c r="D140" s="370" t="s">
        <v>618</v>
      </c>
      <c r="E140" s="371" t="s">
        <v>92</v>
      </c>
      <c r="F140" s="382">
        <v>0.03</v>
      </c>
      <c r="G140" s="373">
        <v>348.3</v>
      </c>
      <c r="H140" s="383">
        <f t="shared" si="19"/>
        <v>10.45</v>
      </c>
    </row>
    <row r="141" spans="1:8" ht="28.5">
      <c r="A141" s="380" t="s">
        <v>419</v>
      </c>
      <c r="B141" s="368" t="s">
        <v>556</v>
      </c>
      <c r="C141" s="381">
        <v>36215</v>
      </c>
      <c r="D141" s="370" t="s">
        <v>619</v>
      </c>
      <c r="E141" s="371" t="s">
        <v>38</v>
      </c>
      <c r="F141" s="382">
        <v>1</v>
      </c>
      <c r="G141" s="373">
        <v>533.94</v>
      </c>
      <c r="H141" s="383">
        <f t="shared" si="19"/>
        <v>533.94</v>
      </c>
    </row>
    <row r="142" spans="1:8" ht="15" thickBot="1">
      <c r="A142" s="375" t="s">
        <v>551</v>
      </c>
      <c r="B142" s="807" t="s">
        <v>620</v>
      </c>
      <c r="C142" s="808"/>
      <c r="D142" s="808"/>
      <c r="E142" s="809"/>
      <c r="F142" s="384"/>
      <c r="G142" s="377" t="s">
        <v>552</v>
      </c>
      <c r="H142" s="385">
        <f>SUM(H139:H141)</f>
        <v>548.94</v>
      </c>
    </row>
    <row r="143" spans="1:8" ht="15" thickBot="1">
      <c r="A143" s="355"/>
      <c r="B143" s="355"/>
      <c r="C143" s="355"/>
      <c r="D143" s="355"/>
      <c r="E143" s="355"/>
      <c r="F143" s="355"/>
      <c r="G143" s="355"/>
      <c r="H143" s="355"/>
    </row>
    <row r="144" spans="1:8" ht="18">
      <c r="A144" s="811">
        <v>15</v>
      </c>
      <c r="B144" s="812"/>
      <c r="C144" s="812"/>
      <c r="D144" s="812"/>
      <c r="E144" s="812"/>
      <c r="F144" s="813"/>
      <c r="G144" s="358" t="s">
        <v>538</v>
      </c>
      <c r="H144" s="359" t="str">
        <f>UPPER(VLOOKUP(B145,'[3]Orçamento'!D:I,2,0))</f>
        <v>UN</v>
      </c>
    </row>
    <row r="145" spans="1:8" ht="14.25">
      <c r="A145" s="360" t="s">
        <v>539</v>
      </c>
      <c r="B145" s="804" t="s">
        <v>488</v>
      </c>
      <c r="C145" s="805"/>
      <c r="D145" s="805"/>
      <c r="E145" s="805"/>
      <c r="F145" s="805"/>
      <c r="G145" s="805"/>
      <c r="H145" s="806"/>
    </row>
    <row r="146" spans="1:8" ht="14.25">
      <c r="A146" s="361" t="s">
        <v>541</v>
      </c>
      <c r="B146" s="362" t="s">
        <v>542</v>
      </c>
      <c r="C146" s="363" t="s">
        <v>543</v>
      </c>
      <c r="D146" s="364" t="s">
        <v>544</v>
      </c>
      <c r="E146" s="363" t="s">
        <v>545</v>
      </c>
      <c r="F146" s="379" t="s">
        <v>546</v>
      </c>
      <c r="G146" s="363" t="s">
        <v>547</v>
      </c>
      <c r="H146" s="366" t="s">
        <v>548</v>
      </c>
    </row>
    <row r="147" spans="1:8" ht="14.25">
      <c r="A147" s="380" t="s">
        <v>419</v>
      </c>
      <c r="B147" s="368" t="s">
        <v>549</v>
      </c>
      <c r="C147" s="381">
        <v>88309</v>
      </c>
      <c r="D147" s="370" t="s">
        <v>617</v>
      </c>
      <c r="E147" s="371" t="s">
        <v>88</v>
      </c>
      <c r="F147" s="382">
        <v>0.3</v>
      </c>
      <c r="G147" s="373">
        <v>15.15</v>
      </c>
      <c r="H147" s="383">
        <f aca="true" t="shared" si="20" ref="H147:H148">ROUND(G147*F147,2)</f>
        <v>4.55</v>
      </c>
    </row>
    <row r="148" spans="1:8" ht="28.5">
      <c r="A148" s="380" t="s">
        <v>481</v>
      </c>
      <c r="B148" s="368" t="s">
        <v>556</v>
      </c>
      <c r="C148" s="381">
        <v>9405</v>
      </c>
      <c r="D148" s="370" t="s">
        <v>621</v>
      </c>
      <c r="E148" s="371" t="s">
        <v>38</v>
      </c>
      <c r="F148" s="382">
        <v>1.05</v>
      </c>
      <c r="G148" s="373">
        <v>66</v>
      </c>
      <c r="H148" s="383">
        <f t="shared" si="20"/>
        <v>69.3</v>
      </c>
    </row>
    <row r="149" spans="1:8" ht="15" thickBot="1">
      <c r="A149" s="375" t="s">
        <v>551</v>
      </c>
      <c r="B149" s="807" t="s">
        <v>622</v>
      </c>
      <c r="C149" s="808"/>
      <c r="D149" s="808"/>
      <c r="E149" s="809"/>
      <c r="F149" s="384"/>
      <c r="G149" s="377" t="s">
        <v>552</v>
      </c>
      <c r="H149" s="385">
        <f>SUM(H147:H148)</f>
        <v>73.85</v>
      </c>
    </row>
    <row r="150" spans="1:8" ht="15" thickBot="1">
      <c r="A150" s="355"/>
      <c r="B150" s="355"/>
      <c r="C150" s="355"/>
      <c r="D150" s="355"/>
      <c r="E150" s="355"/>
      <c r="F150" s="355"/>
      <c r="G150" s="355"/>
      <c r="H150" s="355"/>
    </row>
    <row r="151" spans="1:8" ht="18">
      <c r="A151" s="811">
        <v>16</v>
      </c>
      <c r="B151" s="812"/>
      <c r="C151" s="812"/>
      <c r="D151" s="812"/>
      <c r="E151" s="812"/>
      <c r="F151" s="813"/>
      <c r="G151" s="358" t="s">
        <v>538</v>
      </c>
      <c r="H151" s="359" t="str">
        <f>UPPER(VLOOKUP(B152,'[3]Orçamento'!D:I,2,0))</f>
        <v>UN</v>
      </c>
    </row>
    <row r="152" spans="1:8" ht="14.25">
      <c r="A152" s="360" t="s">
        <v>539</v>
      </c>
      <c r="B152" s="804" t="s">
        <v>490</v>
      </c>
      <c r="C152" s="805"/>
      <c r="D152" s="805"/>
      <c r="E152" s="805"/>
      <c r="F152" s="805"/>
      <c r="G152" s="805"/>
      <c r="H152" s="806"/>
    </row>
    <row r="153" spans="1:8" ht="14.25">
      <c r="A153" s="361" t="s">
        <v>541</v>
      </c>
      <c r="B153" s="362" t="s">
        <v>542</v>
      </c>
      <c r="C153" s="363" t="s">
        <v>543</v>
      </c>
      <c r="D153" s="364" t="s">
        <v>544</v>
      </c>
      <c r="E153" s="363" t="s">
        <v>545</v>
      </c>
      <c r="F153" s="379" t="s">
        <v>546</v>
      </c>
      <c r="G153" s="363" t="s">
        <v>547</v>
      </c>
      <c r="H153" s="366" t="s">
        <v>548</v>
      </c>
    </row>
    <row r="154" spans="1:8" ht="14.25">
      <c r="A154" s="380" t="s">
        <v>419</v>
      </c>
      <c r="B154" s="368" t="s">
        <v>549</v>
      </c>
      <c r="C154" s="381">
        <v>88309</v>
      </c>
      <c r="D154" s="370" t="s">
        <v>617</v>
      </c>
      <c r="E154" s="371" t="s">
        <v>88</v>
      </c>
      <c r="F154" s="382">
        <v>0.3</v>
      </c>
      <c r="G154" s="373">
        <v>15.15</v>
      </c>
      <c r="H154" s="383">
        <f aca="true" t="shared" si="21" ref="H154:H155">ROUND(G154*F154,2)</f>
        <v>4.55</v>
      </c>
    </row>
    <row r="155" spans="1:8" ht="42.75">
      <c r="A155" s="380" t="s">
        <v>419</v>
      </c>
      <c r="B155" s="368" t="s">
        <v>556</v>
      </c>
      <c r="C155" s="381">
        <v>36204</v>
      </c>
      <c r="D155" s="370" t="s">
        <v>623</v>
      </c>
      <c r="E155" s="371" t="s">
        <v>38</v>
      </c>
      <c r="F155" s="382">
        <v>1.05</v>
      </c>
      <c r="G155" s="373">
        <v>104.12</v>
      </c>
      <c r="H155" s="383">
        <f t="shared" si="21"/>
        <v>109.33</v>
      </c>
    </row>
    <row r="156" spans="1:8" ht="15" thickBot="1">
      <c r="A156" s="375" t="s">
        <v>551</v>
      </c>
      <c r="B156" s="807" t="s">
        <v>622</v>
      </c>
      <c r="C156" s="808"/>
      <c r="D156" s="808"/>
      <c r="E156" s="809"/>
      <c r="F156" s="384"/>
      <c r="G156" s="377" t="s">
        <v>552</v>
      </c>
      <c r="H156" s="385">
        <f>SUM(H154:H155)</f>
        <v>113.88</v>
      </c>
    </row>
    <row r="157" spans="1:8" ht="15" thickBot="1">
      <c r="A157" s="355"/>
      <c r="B157" s="355"/>
      <c r="C157" s="355"/>
      <c r="D157" s="355"/>
      <c r="E157" s="355"/>
      <c r="F157" s="355"/>
      <c r="G157" s="355"/>
      <c r="H157" s="355"/>
    </row>
    <row r="158" spans="1:8" ht="18">
      <c r="A158" s="811">
        <v>17</v>
      </c>
      <c r="B158" s="812"/>
      <c r="C158" s="812"/>
      <c r="D158" s="812"/>
      <c r="E158" s="812"/>
      <c r="F158" s="813"/>
      <c r="G158" s="358" t="s">
        <v>538</v>
      </c>
      <c r="H158" s="359" t="str">
        <f>UPPER(VLOOKUP(B159,'[3]Orçamento'!D:I,2,0))</f>
        <v>UN</v>
      </c>
    </row>
    <row r="159" spans="1:8" ht="14.25">
      <c r="A159" s="360" t="s">
        <v>539</v>
      </c>
      <c r="B159" s="804" t="s">
        <v>492</v>
      </c>
      <c r="C159" s="805"/>
      <c r="D159" s="805"/>
      <c r="E159" s="805"/>
      <c r="F159" s="805"/>
      <c r="G159" s="805"/>
      <c r="H159" s="806"/>
    </row>
    <row r="160" spans="1:8" ht="14.25">
      <c r="A160" s="361" t="s">
        <v>541</v>
      </c>
      <c r="B160" s="362" t="s">
        <v>542</v>
      </c>
      <c r="C160" s="363" t="s">
        <v>543</v>
      </c>
      <c r="D160" s="364" t="s">
        <v>544</v>
      </c>
      <c r="E160" s="363" t="s">
        <v>545</v>
      </c>
      <c r="F160" s="379" t="s">
        <v>546</v>
      </c>
      <c r="G160" s="363" t="s">
        <v>547</v>
      </c>
      <c r="H160" s="366" t="s">
        <v>548</v>
      </c>
    </row>
    <row r="161" spans="1:8" ht="14.25">
      <c r="A161" s="380" t="s">
        <v>419</v>
      </c>
      <c r="B161" s="368" t="s">
        <v>549</v>
      </c>
      <c r="C161" s="381">
        <v>88309</v>
      </c>
      <c r="D161" s="370" t="s">
        <v>617</v>
      </c>
      <c r="E161" s="371" t="s">
        <v>88</v>
      </c>
      <c r="F161" s="382">
        <v>0.3</v>
      </c>
      <c r="G161" s="373">
        <v>15.15</v>
      </c>
      <c r="H161" s="383">
        <f aca="true" t="shared" si="22" ref="H161:H162">ROUND(G161*F161,2)</f>
        <v>4.55</v>
      </c>
    </row>
    <row r="162" spans="1:8" ht="42.75">
      <c r="A162" s="380" t="s">
        <v>419</v>
      </c>
      <c r="B162" s="368" t="s">
        <v>556</v>
      </c>
      <c r="C162" s="381">
        <v>36205</v>
      </c>
      <c r="D162" s="370" t="s">
        <v>624</v>
      </c>
      <c r="E162" s="371" t="s">
        <v>38</v>
      </c>
      <c r="F162" s="382">
        <v>1.05</v>
      </c>
      <c r="G162" s="373">
        <v>115.64</v>
      </c>
      <c r="H162" s="383">
        <f t="shared" si="22"/>
        <v>121.42</v>
      </c>
    </row>
    <row r="163" spans="1:8" ht="15" thickBot="1">
      <c r="A163" s="375" t="s">
        <v>551</v>
      </c>
      <c r="B163" s="807" t="s">
        <v>622</v>
      </c>
      <c r="C163" s="808"/>
      <c r="D163" s="808"/>
      <c r="E163" s="809"/>
      <c r="F163" s="384"/>
      <c r="G163" s="377" t="s">
        <v>552</v>
      </c>
      <c r="H163" s="385">
        <f>SUM(H161:H162)</f>
        <v>125.97</v>
      </c>
    </row>
    <row r="164" spans="1:8" ht="15" thickBot="1">
      <c r="A164" s="355"/>
      <c r="B164" s="355"/>
      <c r="C164" s="355"/>
      <c r="D164" s="355"/>
      <c r="E164" s="355"/>
      <c r="F164" s="355"/>
      <c r="G164" s="355"/>
      <c r="H164" s="355"/>
    </row>
    <row r="165" spans="1:8" ht="18">
      <c r="A165" s="811">
        <v>18</v>
      </c>
      <c r="B165" s="812"/>
      <c r="C165" s="812"/>
      <c r="D165" s="812"/>
      <c r="E165" s="812"/>
      <c r="F165" s="813"/>
      <c r="G165" s="358" t="s">
        <v>538</v>
      </c>
      <c r="H165" s="359" t="str">
        <f>UPPER(VLOOKUP(B166,'[3]Orçamento'!D:I,2,0))</f>
        <v>UN</v>
      </c>
    </row>
    <row r="166" spans="1:8" ht="14.25">
      <c r="A166" s="360" t="s">
        <v>539</v>
      </c>
      <c r="B166" s="804" t="s">
        <v>494</v>
      </c>
      <c r="C166" s="805"/>
      <c r="D166" s="805"/>
      <c r="E166" s="805"/>
      <c r="F166" s="805"/>
      <c r="G166" s="805"/>
      <c r="H166" s="806"/>
    </row>
    <row r="167" spans="1:8" ht="14.25">
      <c r="A167" s="361" t="s">
        <v>541</v>
      </c>
      <c r="B167" s="362" t="s">
        <v>542</v>
      </c>
      <c r="C167" s="363" t="s">
        <v>543</v>
      </c>
      <c r="D167" s="364" t="s">
        <v>544</v>
      </c>
      <c r="E167" s="363" t="s">
        <v>545</v>
      </c>
      <c r="F167" s="379" t="s">
        <v>546</v>
      </c>
      <c r="G167" s="363" t="s">
        <v>547</v>
      </c>
      <c r="H167" s="366" t="s">
        <v>548</v>
      </c>
    </row>
    <row r="168" spans="1:8" ht="14.25">
      <c r="A168" s="380" t="s">
        <v>419</v>
      </c>
      <c r="B168" s="368" t="s">
        <v>549</v>
      </c>
      <c r="C168" s="381">
        <v>88309</v>
      </c>
      <c r="D168" s="370" t="s">
        <v>617</v>
      </c>
      <c r="E168" s="371" t="s">
        <v>88</v>
      </c>
      <c r="F168" s="382">
        <v>0.3</v>
      </c>
      <c r="G168" s="373">
        <v>15.15</v>
      </c>
      <c r="H168" s="383">
        <f aca="true" t="shared" si="23" ref="H168:H169">ROUND(G168*F168,2)</f>
        <v>4.55</v>
      </c>
    </row>
    <row r="169" spans="1:8" ht="42.75">
      <c r="A169" s="380" t="s">
        <v>419</v>
      </c>
      <c r="B169" s="368" t="s">
        <v>556</v>
      </c>
      <c r="C169" s="381">
        <v>36081</v>
      </c>
      <c r="D169" s="370" t="s">
        <v>625</v>
      </c>
      <c r="E169" s="371" t="s">
        <v>38</v>
      </c>
      <c r="F169" s="382">
        <v>1.05</v>
      </c>
      <c r="G169" s="373">
        <v>123.3</v>
      </c>
      <c r="H169" s="383">
        <f t="shared" si="23"/>
        <v>129.47</v>
      </c>
    </row>
    <row r="170" spans="1:8" ht="15" thickBot="1">
      <c r="A170" s="375" t="s">
        <v>551</v>
      </c>
      <c r="B170" s="807" t="s">
        <v>622</v>
      </c>
      <c r="C170" s="808"/>
      <c r="D170" s="808"/>
      <c r="E170" s="809"/>
      <c r="F170" s="384"/>
      <c r="G170" s="377" t="s">
        <v>552</v>
      </c>
      <c r="H170" s="385">
        <f>SUM(H168:H169)</f>
        <v>134.02</v>
      </c>
    </row>
    <row r="171" spans="1:8" ht="15" thickBot="1">
      <c r="A171" s="355"/>
      <c r="B171" s="355"/>
      <c r="C171" s="355"/>
      <c r="D171" s="355"/>
      <c r="E171" s="355"/>
      <c r="F171" s="355"/>
      <c r="G171" s="355"/>
      <c r="H171" s="355"/>
    </row>
    <row r="172" spans="1:8" ht="18">
      <c r="A172" s="811">
        <v>19</v>
      </c>
      <c r="B172" s="812"/>
      <c r="C172" s="812"/>
      <c r="D172" s="812"/>
      <c r="E172" s="812"/>
      <c r="F172" s="813"/>
      <c r="G172" s="358" t="s">
        <v>538</v>
      </c>
      <c r="H172" s="359" t="str">
        <f>UPPER(VLOOKUP(B173,'[3]Orçamento'!D:I,2,0))</f>
        <v>UN</v>
      </c>
    </row>
    <row r="173" spans="1:8" ht="14.25">
      <c r="A173" s="360" t="s">
        <v>539</v>
      </c>
      <c r="B173" s="804" t="s">
        <v>503</v>
      </c>
      <c r="C173" s="805"/>
      <c r="D173" s="805"/>
      <c r="E173" s="805"/>
      <c r="F173" s="805"/>
      <c r="G173" s="805"/>
      <c r="H173" s="806"/>
    </row>
    <row r="174" spans="1:8" ht="14.25">
      <c r="A174" s="361" t="s">
        <v>541</v>
      </c>
      <c r="B174" s="362" t="s">
        <v>542</v>
      </c>
      <c r="C174" s="363" t="s">
        <v>543</v>
      </c>
      <c r="D174" s="364" t="s">
        <v>544</v>
      </c>
      <c r="E174" s="363" t="s">
        <v>545</v>
      </c>
      <c r="F174" s="379" t="s">
        <v>546</v>
      </c>
      <c r="G174" s="363" t="s">
        <v>547</v>
      </c>
      <c r="H174" s="366" t="s">
        <v>548</v>
      </c>
    </row>
    <row r="175" spans="1:8" ht="14.25">
      <c r="A175" s="380" t="s">
        <v>419</v>
      </c>
      <c r="B175" s="368" t="s">
        <v>549</v>
      </c>
      <c r="C175" s="381">
        <v>88264</v>
      </c>
      <c r="D175" s="370" t="s">
        <v>626</v>
      </c>
      <c r="E175" s="371" t="s">
        <v>88</v>
      </c>
      <c r="F175" s="382">
        <v>0.5</v>
      </c>
      <c r="G175" s="373">
        <v>15.34</v>
      </c>
      <c r="H175" s="383">
        <f aca="true" t="shared" si="24" ref="H175:H178">ROUND(G175*F175,2)</f>
        <v>7.67</v>
      </c>
    </row>
    <row r="176" spans="1:8" ht="14.25">
      <c r="A176" s="380" t="s">
        <v>419</v>
      </c>
      <c r="B176" s="368" t="s">
        <v>549</v>
      </c>
      <c r="C176" s="381">
        <v>88247</v>
      </c>
      <c r="D176" s="370" t="s">
        <v>627</v>
      </c>
      <c r="E176" s="371" t="s">
        <v>88</v>
      </c>
      <c r="F176" s="382">
        <v>0.5</v>
      </c>
      <c r="G176" s="373">
        <v>12.56</v>
      </c>
      <c r="H176" s="383">
        <f>ROUND(G176*F176,2)</f>
        <v>6.28</v>
      </c>
    </row>
    <row r="177" spans="1:8" ht="28.5">
      <c r="A177" s="380" t="s">
        <v>419</v>
      </c>
      <c r="B177" s="368" t="s">
        <v>556</v>
      </c>
      <c r="C177" s="381">
        <v>39388</v>
      </c>
      <c r="D177" s="370" t="s">
        <v>628</v>
      </c>
      <c r="E177" s="371" t="s">
        <v>38</v>
      </c>
      <c r="F177" s="382">
        <v>1</v>
      </c>
      <c r="G177" s="373">
        <v>33.74</v>
      </c>
      <c r="H177" s="383">
        <f t="shared" si="24"/>
        <v>33.74</v>
      </c>
    </row>
    <row r="178" spans="1:8" ht="28.5">
      <c r="A178" s="380" t="s">
        <v>419</v>
      </c>
      <c r="B178" s="368" t="s">
        <v>556</v>
      </c>
      <c r="C178" s="381">
        <v>21127</v>
      </c>
      <c r="D178" s="370" t="s">
        <v>629</v>
      </c>
      <c r="E178" s="371" t="s">
        <v>38</v>
      </c>
      <c r="F178" s="382">
        <v>0.06</v>
      </c>
      <c r="G178" s="373">
        <v>2.67</v>
      </c>
      <c r="H178" s="383">
        <f t="shared" si="24"/>
        <v>0.16</v>
      </c>
    </row>
    <row r="179" spans="1:8" ht="15" thickBot="1">
      <c r="A179" s="375" t="s">
        <v>551</v>
      </c>
      <c r="B179" s="807" t="s">
        <v>630</v>
      </c>
      <c r="C179" s="808"/>
      <c r="D179" s="808"/>
      <c r="E179" s="809"/>
      <c r="F179" s="384"/>
      <c r="G179" s="377" t="s">
        <v>552</v>
      </c>
      <c r="H179" s="385">
        <f>SUM(H175:H178)</f>
        <v>47.849999999999994</v>
      </c>
    </row>
    <row r="180" spans="1:8" ht="15" thickBot="1">
      <c r="A180" s="355"/>
      <c r="B180" s="355"/>
      <c r="C180" s="355"/>
      <c r="D180" s="355"/>
      <c r="E180" s="355"/>
      <c r="F180" s="355"/>
      <c r="G180" s="355"/>
      <c r="H180" s="355"/>
    </row>
    <row r="181" spans="1:8" ht="18">
      <c r="A181" s="811">
        <v>20</v>
      </c>
      <c r="B181" s="812"/>
      <c r="C181" s="812"/>
      <c r="D181" s="812"/>
      <c r="E181" s="812"/>
      <c r="F181" s="813"/>
      <c r="G181" s="358" t="s">
        <v>538</v>
      </c>
      <c r="H181" s="359" t="str">
        <f>UPPER(VLOOKUP(B182,'[3]Orçamento'!D:I,2,0))</f>
        <v>UN</v>
      </c>
    </row>
    <row r="182" spans="1:8" ht="14.25">
      <c r="A182" s="360" t="s">
        <v>539</v>
      </c>
      <c r="B182" s="804" t="s">
        <v>504</v>
      </c>
      <c r="C182" s="805"/>
      <c r="D182" s="805"/>
      <c r="E182" s="805"/>
      <c r="F182" s="805"/>
      <c r="G182" s="805"/>
      <c r="H182" s="806"/>
    </row>
    <row r="183" spans="1:8" ht="14.25">
      <c r="A183" s="361" t="s">
        <v>541</v>
      </c>
      <c r="B183" s="362" t="s">
        <v>542</v>
      </c>
      <c r="C183" s="363" t="s">
        <v>543</v>
      </c>
      <c r="D183" s="364" t="s">
        <v>544</v>
      </c>
      <c r="E183" s="363" t="s">
        <v>545</v>
      </c>
      <c r="F183" s="379" t="s">
        <v>546</v>
      </c>
      <c r="G183" s="363" t="s">
        <v>547</v>
      </c>
      <c r="H183" s="366" t="s">
        <v>548</v>
      </c>
    </row>
    <row r="184" spans="1:8" ht="14.25">
      <c r="A184" s="380" t="s">
        <v>419</v>
      </c>
      <c r="B184" s="368" t="s">
        <v>549</v>
      </c>
      <c r="C184" s="381">
        <v>88264</v>
      </c>
      <c r="D184" s="370" t="s">
        <v>626</v>
      </c>
      <c r="E184" s="371" t="s">
        <v>88</v>
      </c>
      <c r="F184" s="382">
        <v>0.85</v>
      </c>
      <c r="G184" s="373">
        <v>15.34</v>
      </c>
      <c r="H184" s="383">
        <f aca="true" t="shared" si="25" ref="H184:H186">ROUND(G184*F184,2)</f>
        <v>13.04</v>
      </c>
    </row>
    <row r="185" spans="1:8" ht="14.25">
      <c r="A185" s="380" t="s">
        <v>419</v>
      </c>
      <c r="B185" s="368" t="s">
        <v>549</v>
      </c>
      <c r="C185" s="381">
        <v>88316</v>
      </c>
      <c r="D185" s="370" t="s">
        <v>554</v>
      </c>
      <c r="E185" s="371" t="s">
        <v>88</v>
      </c>
      <c r="F185" s="382">
        <v>0.85</v>
      </c>
      <c r="G185" s="373">
        <v>12.05</v>
      </c>
      <c r="H185" s="383">
        <f t="shared" si="25"/>
        <v>10.24</v>
      </c>
    </row>
    <row r="186" spans="1:8" ht="42.75">
      <c r="A186" s="380" t="s">
        <v>419</v>
      </c>
      <c r="B186" s="368" t="s">
        <v>556</v>
      </c>
      <c r="C186" s="381">
        <v>39386</v>
      </c>
      <c r="D186" s="370" t="s">
        <v>631</v>
      </c>
      <c r="E186" s="371" t="s">
        <v>38</v>
      </c>
      <c r="F186" s="382">
        <v>2</v>
      </c>
      <c r="G186" s="373">
        <v>37.64</v>
      </c>
      <c r="H186" s="383">
        <f t="shared" si="25"/>
        <v>75.28</v>
      </c>
    </row>
    <row r="187" spans="1:8" ht="15" thickBot="1">
      <c r="A187" s="375" t="s">
        <v>551</v>
      </c>
      <c r="B187" s="807" t="s">
        <v>632</v>
      </c>
      <c r="C187" s="808"/>
      <c r="D187" s="808"/>
      <c r="E187" s="809"/>
      <c r="F187" s="384"/>
      <c r="G187" s="377" t="s">
        <v>552</v>
      </c>
      <c r="H187" s="385">
        <f>SUM(H184:H186)</f>
        <v>98.56</v>
      </c>
    </row>
    <row r="188" spans="1:8" ht="15" thickBot="1">
      <c r="A188" s="355"/>
      <c r="B188" s="355"/>
      <c r="C188" s="355"/>
      <c r="D188" s="355"/>
      <c r="E188" s="355"/>
      <c r="F188" s="355"/>
      <c r="G188" s="355"/>
      <c r="H188" s="355"/>
    </row>
    <row r="189" spans="1:8" ht="18">
      <c r="A189" s="811">
        <v>21</v>
      </c>
      <c r="B189" s="812"/>
      <c r="C189" s="812"/>
      <c r="D189" s="812"/>
      <c r="E189" s="812"/>
      <c r="F189" s="813"/>
      <c r="G189" s="358" t="s">
        <v>538</v>
      </c>
      <c r="H189" s="359" t="str">
        <f>UPPER(VLOOKUP(B190,'[3]Orçamento'!D:I,2,0))</f>
        <v>UN</v>
      </c>
    </row>
    <row r="190" spans="1:8" ht="14.25">
      <c r="A190" s="360" t="s">
        <v>539</v>
      </c>
      <c r="B190" s="804" t="s">
        <v>505</v>
      </c>
      <c r="C190" s="805"/>
      <c r="D190" s="805"/>
      <c r="E190" s="805"/>
      <c r="F190" s="805"/>
      <c r="G190" s="805"/>
      <c r="H190" s="806"/>
    </row>
    <row r="191" spans="1:8" ht="14.25">
      <c r="A191" s="361" t="s">
        <v>541</v>
      </c>
      <c r="B191" s="362" t="s">
        <v>542</v>
      </c>
      <c r="C191" s="363" t="s">
        <v>543</v>
      </c>
      <c r="D191" s="364" t="s">
        <v>544</v>
      </c>
      <c r="E191" s="363" t="s">
        <v>545</v>
      </c>
      <c r="F191" s="379" t="s">
        <v>546</v>
      </c>
      <c r="G191" s="363" t="s">
        <v>547</v>
      </c>
      <c r="H191" s="366" t="s">
        <v>548</v>
      </c>
    </row>
    <row r="192" spans="1:8" ht="14.25">
      <c r="A192" s="380" t="s">
        <v>419</v>
      </c>
      <c r="B192" s="368" t="s">
        <v>549</v>
      </c>
      <c r="C192" s="381">
        <v>88264</v>
      </c>
      <c r="D192" s="370" t="s">
        <v>626</v>
      </c>
      <c r="E192" s="371" t="s">
        <v>88</v>
      </c>
      <c r="F192" s="382">
        <v>1</v>
      </c>
      <c r="G192" s="373">
        <v>15.34</v>
      </c>
      <c r="H192" s="383">
        <f aca="true" t="shared" si="26" ref="H192:H194">ROUND(G192*F192,2)</f>
        <v>15.34</v>
      </c>
    </row>
    <row r="193" spans="1:8" ht="14.25">
      <c r="A193" s="380" t="s">
        <v>419</v>
      </c>
      <c r="B193" s="368" t="s">
        <v>549</v>
      </c>
      <c r="C193" s="381">
        <v>88316</v>
      </c>
      <c r="D193" s="370" t="s">
        <v>554</v>
      </c>
      <c r="E193" s="371" t="s">
        <v>88</v>
      </c>
      <c r="F193" s="382">
        <v>1</v>
      </c>
      <c r="G193" s="373">
        <v>12.05</v>
      </c>
      <c r="H193" s="383">
        <f t="shared" si="26"/>
        <v>12.05</v>
      </c>
    </row>
    <row r="194" spans="1:8" ht="71.25">
      <c r="A194" s="380" t="s">
        <v>419</v>
      </c>
      <c r="B194" s="368" t="s">
        <v>556</v>
      </c>
      <c r="C194" s="381">
        <v>39387</v>
      </c>
      <c r="D194" s="370" t="s">
        <v>633</v>
      </c>
      <c r="E194" s="371" t="s">
        <v>38</v>
      </c>
      <c r="F194" s="382">
        <v>2</v>
      </c>
      <c r="G194" s="373">
        <v>56.91</v>
      </c>
      <c r="H194" s="383">
        <f t="shared" si="26"/>
        <v>113.82</v>
      </c>
    </row>
    <row r="195" spans="1:8" ht="15" thickBot="1">
      <c r="A195" s="375" t="s">
        <v>551</v>
      </c>
      <c r="B195" s="807" t="s">
        <v>634</v>
      </c>
      <c r="C195" s="808"/>
      <c r="D195" s="808"/>
      <c r="E195" s="809"/>
      <c r="F195" s="384"/>
      <c r="G195" s="377" t="s">
        <v>552</v>
      </c>
      <c r="H195" s="385">
        <f>SUM(H192:H194)</f>
        <v>141.20999999999998</v>
      </c>
    </row>
    <row r="196" spans="1:8" ht="15" thickBot="1">
      <c r="A196" s="355"/>
      <c r="B196" s="355"/>
      <c r="C196" s="355"/>
      <c r="D196" s="355"/>
      <c r="E196" s="355"/>
      <c r="F196" s="355"/>
      <c r="G196" s="355"/>
      <c r="H196" s="355"/>
    </row>
    <row r="197" spans="1:8" ht="18">
      <c r="A197" s="811">
        <v>22</v>
      </c>
      <c r="B197" s="812"/>
      <c r="C197" s="812"/>
      <c r="D197" s="812"/>
      <c r="E197" s="812"/>
      <c r="F197" s="813"/>
      <c r="G197" s="358" t="s">
        <v>538</v>
      </c>
      <c r="H197" s="359" t="str">
        <f>UPPER(VLOOKUP(B198,'[3]Orçamento'!D:I,2,0))</f>
        <v>M</v>
      </c>
    </row>
    <row r="198" spans="1:8" ht="14.25">
      <c r="A198" s="360" t="s">
        <v>539</v>
      </c>
      <c r="B198" s="804" t="s">
        <v>635</v>
      </c>
      <c r="C198" s="805"/>
      <c r="D198" s="805"/>
      <c r="E198" s="805"/>
      <c r="F198" s="805"/>
      <c r="G198" s="805"/>
      <c r="H198" s="806"/>
    </row>
    <row r="199" spans="1:8" ht="14.25">
      <c r="A199" s="361" t="s">
        <v>541</v>
      </c>
      <c r="B199" s="362" t="s">
        <v>542</v>
      </c>
      <c r="C199" s="363" t="s">
        <v>543</v>
      </c>
      <c r="D199" s="364" t="s">
        <v>544</v>
      </c>
      <c r="E199" s="363" t="s">
        <v>545</v>
      </c>
      <c r="F199" s="379" t="s">
        <v>546</v>
      </c>
      <c r="G199" s="363" t="s">
        <v>547</v>
      </c>
      <c r="H199" s="366" t="s">
        <v>548</v>
      </c>
    </row>
    <row r="200" spans="1:8" ht="14.25">
      <c r="A200" s="380" t="s">
        <v>419</v>
      </c>
      <c r="B200" s="368" t="s">
        <v>549</v>
      </c>
      <c r="C200" s="381">
        <v>88309</v>
      </c>
      <c r="D200" s="370" t="s">
        <v>617</v>
      </c>
      <c r="E200" s="371" t="s">
        <v>88</v>
      </c>
      <c r="F200" s="382">
        <v>0.4</v>
      </c>
      <c r="G200" s="373">
        <v>15.15</v>
      </c>
      <c r="H200" s="383">
        <f aca="true" t="shared" si="27" ref="H200:H201">ROUND(G200*F200,2)</f>
        <v>6.06</v>
      </c>
    </row>
    <row r="201" spans="1:8" ht="14.25">
      <c r="A201" s="380" t="s">
        <v>419</v>
      </c>
      <c r="B201" s="368" t="s">
        <v>549</v>
      </c>
      <c r="C201" s="381">
        <v>88316</v>
      </c>
      <c r="D201" s="370" t="s">
        <v>554</v>
      </c>
      <c r="E201" s="371" t="s">
        <v>88</v>
      </c>
      <c r="F201" s="382">
        <v>0.2</v>
      </c>
      <c r="G201" s="373">
        <v>12.05</v>
      </c>
      <c r="H201" s="383">
        <f t="shared" si="27"/>
        <v>2.41</v>
      </c>
    </row>
    <row r="202" spans="1:8" ht="42.75">
      <c r="A202" s="380" t="s">
        <v>419</v>
      </c>
      <c r="B202" s="368" t="s">
        <v>549</v>
      </c>
      <c r="C202" s="381">
        <v>87373</v>
      </c>
      <c r="D202" s="370" t="s">
        <v>636</v>
      </c>
      <c r="E202" s="371" t="s">
        <v>92</v>
      </c>
      <c r="F202" s="382">
        <v>0.003</v>
      </c>
      <c r="G202" s="373">
        <v>389.27</v>
      </c>
      <c r="H202" s="383">
        <f>ROUND(G202*F202,2)</f>
        <v>1.17</v>
      </c>
    </row>
    <row r="203" spans="1:8" ht="14.25">
      <c r="A203" s="380" t="s">
        <v>419</v>
      </c>
      <c r="B203" s="368" t="s">
        <v>556</v>
      </c>
      <c r="C203" s="381">
        <v>20232</v>
      </c>
      <c r="D203" s="370" t="s">
        <v>637</v>
      </c>
      <c r="E203" s="371" t="s">
        <v>26</v>
      </c>
      <c r="F203" s="382">
        <v>1</v>
      </c>
      <c r="G203" s="373">
        <v>96.62</v>
      </c>
      <c r="H203" s="383">
        <f>ROUND(G203*F203,2)</f>
        <v>96.62</v>
      </c>
    </row>
    <row r="204" spans="1:8" ht="15" thickBot="1">
      <c r="A204" s="375" t="s">
        <v>551</v>
      </c>
      <c r="B204" s="807" t="s">
        <v>638</v>
      </c>
      <c r="C204" s="808"/>
      <c r="D204" s="808"/>
      <c r="E204" s="809"/>
      <c r="F204" s="384"/>
      <c r="G204" s="377" t="s">
        <v>552</v>
      </c>
      <c r="H204" s="385">
        <f>SUM(H200:H203)</f>
        <v>106.26</v>
      </c>
    </row>
    <row r="205" spans="1:8" ht="15" thickBot="1">
      <c r="A205" s="355"/>
      <c r="B205" s="355"/>
      <c r="C205" s="355"/>
      <c r="D205" s="355"/>
      <c r="E205" s="355"/>
      <c r="F205" s="355"/>
      <c r="G205" s="355"/>
      <c r="H205" s="355"/>
    </row>
    <row r="206" spans="1:8" ht="18">
      <c r="A206" s="811">
        <v>23</v>
      </c>
      <c r="B206" s="812"/>
      <c r="C206" s="812"/>
      <c r="D206" s="812"/>
      <c r="E206" s="812"/>
      <c r="F206" s="813"/>
      <c r="G206" s="358" t="s">
        <v>538</v>
      </c>
      <c r="H206" s="359" t="str">
        <f>UPPER(VLOOKUP(B207,'[3]Orçamento'!D:I,2,0))</f>
        <v>M</v>
      </c>
    </row>
    <row r="207" spans="1:8" ht="14.25">
      <c r="A207" s="360" t="s">
        <v>539</v>
      </c>
      <c r="B207" s="804" t="s">
        <v>639</v>
      </c>
      <c r="C207" s="805"/>
      <c r="D207" s="805"/>
      <c r="E207" s="805"/>
      <c r="F207" s="805"/>
      <c r="G207" s="805"/>
      <c r="H207" s="806"/>
    </row>
    <row r="208" spans="1:8" ht="14.25">
      <c r="A208" s="361" t="s">
        <v>541</v>
      </c>
      <c r="B208" s="362" t="s">
        <v>542</v>
      </c>
      <c r="C208" s="363" t="s">
        <v>543</v>
      </c>
      <c r="D208" s="364" t="s">
        <v>544</v>
      </c>
      <c r="E208" s="363" t="s">
        <v>545</v>
      </c>
      <c r="F208" s="379" t="s">
        <v>546</v>
      </c>
      <c r="G208" s="363" t="s">
        <v>547</v>
      </c>
      <c r="H208" s="366" t="s">
        <v>548</v>
      </c>
    </row>
    <row r="209" spans="1:8" ht="14.25">
      <c r="A209" s="380" t="s">
        <v>419</v>
      </c>
      <c r="B209" s="368" t="s">
        <v>549</v>
      </c>
      <c r="C209" s="381">
        <v>88316</v>
      </c>
      <c r="D209" s="370" t="s">
        <v>554</v>
      </c>
      <c r="E209" s="371" t="s">
        <v>88</v>
      </c>
      <c r="F209" s="382">
        <v>0.15</v>
      </c>
      <c r="G209" s="373">
        <v>12.05</v>
      </c>
      <c r="H209" s="383">
        <f aca="true" t="shared" si="28" ref="H209:H210">ROUND(G209*F209,2)</f>
        <v>1.81</v>
      </c>
    </row>
    <row r="210" spans="1:8" ht="28.5">
      <c r="A210" s="380" t="s">
        <v>419</v>
      </c>
      <c r="B210" s="368" t="s">
        <v>556</v>
      </c>
      <c r="C210" s="381">
        <v>38181</v>
      </c>
      <c r="D210" s="370" t="s">
        <v>640</v>
      </c>
      <c r="E210" s="371" t="s">
        <v>399</v>
      </c>
      <c r="F210" s="382">
        <v>0.25</v>
      </c>
      <c r="G210" s="373">
        <v>172.66</v>
      </c>
      <c r="H210" s="383">
        <f t="shared" si="28"/>
        <v>43.17</v>
      </c>
    </row>
    <row r="211" spans="1:8" ht="15" thickBot="1">
      <c r="A211" s="375" t="s">
        <v>551</v>
      </c>
      <c r="B211" s="807" t="s">
        <v>472</v>
      </c>
      <c r="C211" s="808"/>
      <c r="D211" s="808"/>
      <c r="E211" s="809"/>
      <c r="F211" s="384"/>
      <c r="G211" s="377" t="s">
        <v>552</v>
      </c>
      <c r="H211" s="385">
        <f>SUM(H209:H210)</f>
        <v>44.980000000000004</v>
      </c>
    </row>
    <row r="212" spans="1:8" ht="15" thickBot="1">
      <c r="A212" s="355"/>
      <c r="B212" s="355"/>
      <c r="C212" s="355"/>
      <c r="D212" s="355"/>
      <c r="E212" s="355"/>
      <c r="F212" s="355"/>
      <c r="G212" s="355"/>
      <c r="H212" s="355"/>
    </row>
    <row r="213" spans="1:8" ht="18">
      <c r="A213" s="811">
        <v>24</v>
      </c>
      <c r="B213" s="812"/>
      <c r="C213" s="812"/>
      <c r="D213" s="812"/>
      <c r="E213" s="812"/>
      <c r="F213" s="813"/>
      <c r="G213" s="358" t="s">
        <v>538</v>
      </c>
      <c r="H213" s="359" t="str">
        <f>UPPER(VLOOKUP(B214,'[3]Orçamento'!D:I,2,0))</f>
        <v>M</v>
      </c>
    </row>
    <row r="214" spans="1:8" ht="14.25">
      <c r="A214" s="360" t="s">
        <v>539</v>
      </c>
      <c r="B214" s="804" t="s">
        <v>641</v>
      </c>
      <c r="C214" s="805"/>
      <c r="D214" s="805"/>
      <c r="E214" s="805"/>
      <c r="F214" s="805"/>
      <c r="G214" s="805"/>
      <c r="H214" s="806"/>
    </row>
    <row r="215" spans="1:8" ht="14.25">
      <c r="A215" s="361" t="s">
        <v>541</v>
      </c>
      <c r="B215" s="362" t="s">
        <v>542</v>
      </c>
      <c r="C215" s="363" t="s">
        <v>543</v>
      </c>
      <c r="D215" s="364" t="s">
        <v>544</v>
      </c>
      <c r="E215" s="363" t="s">
        <v>545</v>
      </c>
      <c r="F215" s="379" t="s">
        <v>546</v>
      </c>
      <c r="G215" s="363" t="s">
        <v>547</v>
      </c>
      <c r="H215" s="366" t="s">
        <v>548</v>
      </c>
    </row>
    <row r="216" spans="1:8" ht="14.25">
      <c r="A216" s="380" t="s">
        <v>419</v>
      </c>
      <c r="B216" s="368" t="s">
        <v>549</v>
      </c>
      <c r="C216" s="381">
        <v>88316</v>
      </c>
      <c r="D216" s="370" t="s">
        <v>554</v>
      </c>
      <c r="E216" s="371" t="s">
        <v>88</v>
      </c>
      <c r="F216" s="382">
        <v>0.15</v>
      </c>
      <c r="G216" s="373">
        <v>12.05</v>
      </c>
      <c r="H216" s="383">
        <f aca="true" t="shared" si="29" ref="H216:H217">ROUND(G216*F216,2)</f>
        <v>1.81</v>
      </c>
    </row>
    <row r="217" spans="1:8" ht="28.5">
      <c r="A217" s="380" t="s">
        <v>419</v>
      </c>
      <c r="B217" s="368" t="s">
        <v>556</v>
      </c>
      <c r="C217" s="381">
        <v>38183</v>
      </c>
      <c r="D217" s="370" t="s">
        <v>642</v>
      </c>
      <c r="E217" s="371" t="s">
        <v>399</v>
      </c>
      <c r="F217" s="382">
        <v>0.25</v>
      </c>
      <c r="G217" s="373">
        <v>172.66</v>
      </c>
      <c r="H217" s="383">
        <f t="shared" si="29"/>
        <v>43.17</v>
      </c>
    </row>
    <row r="218" spans="1:8" ht="15" thickBot="1">
      <c r="A218" s="375" t="s">
        <v>551</v>
      </c>
      <c r="B218" s="807" t="s">
        <v>472</v>
      </c>
      <c r="C218" s="808"/>
      <c r="D218" s="808"/>
      <c r="E218" s="809"/>
      <c r="F218" s="384"/>
      <c r="G218" s="377" t="s">
        <v>552</v>
      </c>
      <c r="H218" s="385">
        <f>SUM(H216:H217)</f>
        <v>44.980000000000004</v>
      </c>
    </row>
    <row r="219" spans="1:8" ht="15" thickBot="1">
      <c r="A219" s="355"/>
      <c r="B219" s="355"/>
      <c r="C219" s="355"/>
      <c r="D219" s="355"/>
      <c r="E219" s="355"/>
      <c r="F219" s="355"/>
      <c r="G219" s="355"/>
      <c r="H219" s="355"/>
    </row>
    <row r="220" spans="1:8" ht="18">
      <c r="A220" s="811">
        <v>25</v>
      </c>
      <c r="B220" s="812"/>
      <c r="C220" s="812"/>
      <c r="D220" s="812"/>
      <c r="E220" s="812"/>
      <c r="F220" s="813"/>
      <c r="G220" s="358" t="s">
        <v>538</v>
      </c>
      <c r="H220" s="359" t="str">
        <f>UPPER(VLOOKUP(B221,'[3]Orçamento'!D:I,2,0))</f>
        <v>UN</v>
      </c>
    </row>
    <row r="221" spans="1:8" ht="14.25">
      <c r="A221" s="360" t="s">
        <v>539</v>
      </c>
      <c r="B221" s="804" t="s">
        <v>513</v>
      </c>
      <c r="C221" s="805"/>
      <c r="D221" s="805"/>
      <c r="E221" s="805"/>
      <c r="F221" s="805"/>
      <c r="G221" s="805"/>
      <c r="H221" s="806"/>
    </row>
    <row r="222" spans="1:8" ht="14.25">
      <c r="A222" s="361" t="s">
        <v>541</v>
      </c>
      <c r="B222" s="362" t="s">
        <v>542</v>
      </c>
      <c r="C222" s="363" t="s">
        <v>543</v>
      </c>
      <c r="D222" s="364" t="s">
        <v>544</v>
      </c>
      <c r="E222" s="363" t="s">
        <v>545</v>
      </c>
      <c r="F222" s="379" t="s">
        <v>546</v>
      </c>
      <c r="G222" s="363" t="s">
        <v>547</v>
      </c>
      <c r="H222" s="366" t="s">
        <v>548</v>
      </c>
    </row>
    <row r="223" spans="1:8" ht="14.25">
      <c r="A223" s="380" t="s">
        <v>419</v>
      </c>
      <c r="B223" s="368" t="s">
        <v>549</v>
      </c>
      <c r="C223" s="381">
        <v>88264</v>
      </c>
      <c r="D223" s="370" t="s">
        <v>626</v>
      </c>
      <c r="E223" s="371" t="s">
        <v>88</v>
      </c>
      <c r="F223" s="382">
        <v>0.3</v>
      </c>
      <c r="G223" s="373">
        <v>15.34</v>
      </c>
      <c r="H223" s="383">
        <f aca="true" t="shared" si="30" ref="H223:H226">ROUND(G223*F223,2)</f>
        <v>4.6</v>
      </c>
    </row>
    <row r="224" spans="1:8" ht="14.25">
      <c r="A224" s="380" t="s">
        <v>419</v>
      </c>
      <c r="B224" s="368" t="s">
        <v>549</v>
      </c>
      <c r="C224" s="381">
        <v>88316</v>
      </c>
      <c r="D224" s="370" t="s">
        <v>554</v>
      </c>
      <c r="E224" s="371" t="s">
        <v>88</v>
      </c>
      <c r="F224" s="382">
        <v>0.3</v>
      </c>
      <c r="G224" s="373">
        <v>12.05</v>
      </c>
      <c r="H224" s="383">
        <f t="shared" si="30"/>
        <v>3.62</v>
      </c>
    </row>
    <row r="225" spans="1:8" ht="28.5">
      <c r="A225" s="380" t="s">
        <v>613</v>
      </c>
      <c r="B225" s="368" t="s">
        <v>556</v>
      </c>
      <c r="C225" s="381" t="s">
        <v>643</v>
      </c>
      <c r="D225" s="370" t="s">
        <v>644</v>
      </c>
      <c r="E225" s="371" t="s">
        <v>34</v>
      </c>
      <c r="F225" s="382">
        <v>1</v>
      </c>
      <c r="G225" s="373">
        <v>224.78</v>
      </c>
      <c r="H225" s="383">
        <f t="shared" si="30"/>
        <v>224.78</v>
      </c>
    </row>
    <row r="226" spans="1:8" ht="28.5">
      <c r="A226" s="380" t="s">
        <v>613</v>
      </c>
      <c r="B226" s="368" t="s">
        <v>556</v>
      </c>
      <c r="C226" s="381" t="s">
        <v>645</v>
      </c>
      <c r="D226" s="370" t="s">
        <v>646</v>
      </c>
      <c r="E226" s="371" t="s">
        <v>34</v>
      </c>
      <c r="F226" s="382">
        <v>1</v>
      </c>
      <c r="G226" s="373">
        <v>179.03</v>
      </c>
      <c r="H226" s="383">
        <f t="shared" si="30"/>
        <v>179.03</v>
      </c>
    </row>
    <row r="227" spans="1:8" ht="15" thickBot="1">
      <c r="A227" s="375" t="s">
        <v>551</v>
      </c>
      <c r="B227" s="807" t="s">
        <v>472</v>
      </c>
      <c r="C227" s="808"/>
      <c r="D227" s="808"/>
      <c r="E227" s="809"/>
      <c r="F227" s="384"/>
      <c r="G227" s="377" t="s">
        <v>552</v>
      </c>
      <c r="H227" s="385">
        <f>SUM(H223:H226)</f>
        <v>412.03</v>
      </c>
    </row>
    <row r="228" spans="1:8" ht="15" thickBot="1">
      <c r="A228" s="355"/>
      <c r="B228" s="355"/>
      <c r="C228" s="355"/>
      <c r="D228" s="355"/>
      <c r="E228" s="355"/>
      <c r="F228" s="355"/>
      <c r="G228" s="355"/>
      <c r="H228" s="355"/>
    </row>
    <row r="229" spans="1:8" ht="18">
      <c r="A229" s="811">
        <v>26</v>
      </c>
      <c r="B229" s="812"/>
      <c r="C229" s="812"/>
      <c r="D229" s="812"/>
      <c r="E229" s="812"/>
      <c r="F229" s="813"/>
      <c r="G229" s="358" t="s">
        <v>538</v>
      </c>
      <c r="H229" s="359" t="str">
        <f>UPPER(VLOOKUP(B230,'[3]Orçamento'!D:I,2,0))</f>
        <v>PAR</v>
      </c>
    </row>
    <row r="230" spans="1:8" ht="14.25">
      <c r="A230" s="360" t="s">
        <v>539</v>
      </c>
      <c r="B230" s="804" t="s">
        <v>520</v>
      </c>
      <c r="C230" s="805"/>
      <c r="D230" s="805"/>
      <c r="E230" s="805"/>
      <c r="F230" s="805"/>
      <c r="G230" s="805"/>
      <c r="H230" s="806"/>
    </row>
    <row r="231" spans="1:8" ht="14.25">
      <c r="A231" s="361" t="s">
        <v>541</v>
      </c>
      <c r="B231" s="362" t="s">
        <v>542</v>
      </c>
      <c r="C231" s="363" t="s">
        <v>543</v>
      </c>
      <c r="D231" s="364" t="s">
        <v>544</v>
      </c>
      <c r="E231" s="363" t="s">
        <v>545</v>
      </c>
      <c r="F231" s="379" t="s">
        <v>546</v>
      </c>
      <c r="G231" s="363" t="s">
        <v>547</v>
      </c>
      <c r="H231" s="366" t="s">
        <v>548</v>
      </c>
    </row>
    <row r="232" spans="1:8" ht="14.25">
      <c r="A232" s="380" t="s">
        <v>419</v>
      </c>
      <c r="B232" s="368" t="s">
        <v>549</v>
      </c>
      <c r="C232" s="381">
        <v>88261</v>
      </c>
      <c r="D232" s="370" t="s">
        <v>595</v>
      </c>
      <c r="E232" s="371" t="s">
        <v>88</v>
      </c>
      <c r="F232" s="382">
        <v>2</v>
      </c>
      <c r="G232" s="373">
        <v>14.99</v>
      </c>
      <c r="H232" s="383">
        <f aca="true" t="shared" si="31" ref="H232:H233">ROUND(G232*F232,2)</f>
        <v>29.98</v>
      </c>
    </row>
    <row r="233" spans="1:8" ht="14.25">
      <c r="A233" s="380" t="s">
        <v>419</v>
      </c>
      <c r="B233" s="368" t="s">
        <v>549</v>
      </c>
      <c r="C233" s="381">
        <v>88239</v>
      </c>
      <c r="D233" s="370" t="s">
        <v>596</v>
      </c>
      <c r="E233" s="371" t="s">
        <v>88</v>
      </c>
      <c r="F233" s="382">
        <v>1</v>
      </c>
      <c r="G233" s="373">
        <v>12.48</v>
      </c>
      <c r="H233" s="383">
        <f t="shared" si="31"/>
        <v>12.48</v>
      </c>
    </row>
    <row r="234" spans="1:8" ht="14.25">
      <c r="A234" s="380" t="s">
        <v>419</v>
      </c>
      <c r="B234" s="368" t="s">
        <v>549</v>
      </c>
      <c r="C234" s="381">
        <v>88278</v>
      </c>
      <c r="D234" s="370" t="s">
        <v>597</v>
      </c>
      <c r="E234" s="371" t="s">
        <v>88</v>
      </c>
      <c r="F234" s="382">
        <v>0.5</v>
      </c>
      <c r="G234" s="373">
        <v>10.7</v>
      </c>
      <c r="H234" s="383">
        <f>ROUND(G234*F234,2)</f>
        <v>5.35</v>
      </c>
    </row>
    <row r="235" spans="1:8" ht="28.5">
      <c r="A235" s="380" t="s">
        <v>419</v>
      </c>
      <c r="B235" s="368" t="s">
        <v>556</v>
      </c>
      <c r="C235" s="381">
        <v>39620</v>
      </c>
      <c r="D235" s="370" t="s">
        <v>647</v>
      </c>
      <c r="E235" s="371" t="s">
        <v>38</v>
      </c>
      <c r="F235" s="382">
        <v>2</v>
      </c>
      <c r="G235" s="373">
        <v>512.19</v>
      </c>
      <c r="H235" s="383">
        <f>ROUND(G235*F235,2)</f>
        <v>1024.38</v>
      </c>
    </row>
    <row r="236" spans="1:8" ht="15" thickBot="1">
      <c r="A236" s="375" t="s">
        <v>551</v>
      </c>
      <c r="B236" s="807" t="s">
        <v>648</v>
      </c>
      <c r="C236" s="808"/>
      <c r="D236" s="808"/>
      <c r="E236" s="809"/>
      <c r="F236" s="384"/>
      <c r="G236" s="377" t="s">
        <v>552</v>
      </c>
      <c r="H236" s="385">
        <f>SUM(H232:H235)</f>
        <v>1072.19</v>
      </c>
    </row>
    <row r="237" spans="1:8" ht="15" thickBot="1">
      <c r="A237" s="355"/>
      <c r="B237" s="355"/>
      <c r="C237" s="355"/>
      <c r="D237" s="355"/>
      <c r="E237" s="355"/>
      <c r="F237" s="355"/>
      <c r="G237" s="355"/>
      <c r="H237" s="355"/>
    </row>
    <row r="238" spans="1:8" ht="18">
      <c r="A238" s="811">
        <v>27</v>
      </c>
      <c r="B238" s="812"/>
      <c r="C238" s="812"/>
      <c r="D238" s="812"/>
      <c r="E238" s="812"/>
      <c r="F238" s="813"/>
      <c r="G238" s="358" t="s">
        <v>538</v>
      </c>
      <c r="H238" s="359" t="str">
        <f>UPPER(VLOOKUP(B239,'[3]Orçamento'!D:I,2,0))</f>
        <v>UN</v>
      </c>
    </row>
    <row r="239" spans="1:8" ht="14.25">
      <c r="A239" s="360" t="s">
        <v>539</v>
      </c>
      <c r="B239" s="804" t="s">
        <v>524</v>
      </c>
      <c r="C239" s="805"/>
      <c r="D239" s="805"/>
      <c r="E239" s="805"/>
      <c r="F239" s="805"/>
      <c r="G239" s="805"/>
      <c r="H239" s="806"/>
    </row>
    <row r="240" spans="1:8" ht="14.25">
      <c r="A240" s="361" t="s">
        <v>541</v>
      </c>
      <c r="B240" s="362" t="s">
        <v>542</v>
      </c>
      <c r="C240" s="363" t="s">
        <v>543</v>
      </c>
      <c r="D240" s="364" t="s">
        <v>544</v>
      </c>
      <c r="E240" s="363" t="s">
        <v>545</v>
      </c>
      <c r="F240" s="379" t="s">
        <v>546</v>
      </c>
      <c r="G240" s="363" t="s">
        <v>547</v>
      </c>
      <c r="H240" s="366" t="s">
        <v>548</v>
      </c>
    </row>
    <row r="241" spans="1:8" ht="14.25">
      <c r="A241" s="380" t="s">
        <v>419</v>
      </c>
      <c r="B241" s="368" t="s">
        <v>549</v>
      </c>
      <c r="C241" s="381">
        <v>88316</v>
      </c>
      <c r="D241" s="370" t="s">
        <v>554</v>
      </c>
      <c r="E241" s="371" t="s">
        <v>88</v>
      </c>
      <c r="F241" s="382">
        <v>0.2</v>
      </c>
      <c r="G241" s="373">
        <v>12.05</v>
      </c>
      <c r="H241" s="383">
        <f aca="true" t="shared" si="32" ref="H241:H242">ROUND(G241*F241,2)</f>
        <v>2.41</v>
      </c>
    </row>
    <row r="242" spans="1:8" ht="71.25">
      <c r="A242" s="380" t="s">
        <v>419</v>
      </c>
      <c r="B242" s="368" t="s">
        <v>556</v>
      </c>
      <c r="C242" s="381">
        <v>37558</v>
      </c>
      <c r="D242" s="370" t="s">
        <v>649</v>
      </c>
      <c r="E242" s="371" t="s">
        <v>38</v>
      </c>
      <c r="F242" s="382">
        <v>1</v>
      </c>
      <c r="G242" s="373">
        <v>27.96</v>
      </c>
      <c r="H242" s="383">
        <f t="shared" si="32"/>
        <v>27.96</v>
      </c>
    </row>
    <row r="243" spans="1:8" ht="15" thickBot="1">
      <c r="A243" s="375" t="s">
        <v>551</v>
      </c>
      <c r="B243" s="807" t="s">
        <v>650</v>
      </c>
      <c r="C243" s="808"/>
      <c r="D243" s="808"/>
      <c r="E243" s="809"/>
      <c r="F243" s="384"/>
      <c r="G243" s="377" t="s">
        <v>552</v>
      </c>
      <c r="H243" s="385">
        <f>SUM(H241:H242)</f>
        <v>30.37</v>
      </c>
    </row>
    <row r="244" spans="1:8" ht="15" thickBot="1">
      <c r="A244" s="355"/>
      <c r="B244" s="355"/>
      <c r="C244" s="355"/>
      <c r="D244" s="355"/>
      <c r="E244" s="355"/>
      <c r="F244" s="355"/>
      <c r="G244" s="355"/>
      <c r="H244" s="355"/>
    </row>
    <row r="245" spans="1:8" ht="18">
      <c r="A245" s="811">
        <v>28</v>
      </c>
      <c r="B245" s="812"/>
      <c r="C245" s="812"/>
      <c r="D245" s="812"/>
      <c r="E245" s="812"/>
      <c r="F245" s="813"/>
      <c r="G245" s="358" t="s">
        <v>538</v>
      </c>
      <c r="H245" s="359" t="str">
        <f>UPPER(VLOOKUP(B246,'[3]Orçamento'!D:I,2,0))</f>
        <v>UN</v>
      </c>
    </row>
    <row r="246" spans="1:8" ht="14.25">
      <c r="A246" s="360" t="s">
        <v>539</v>
      </c>
      <c r="B246" s="804" t="s">
        <v>527</v>
      </c>
      <c r="C246" s="805"/>
      <c r="D246" s="805"/>
      <c r="E246" s="805"/>
      <c r="F246" s="805"/>
      <c r="G246" s="805"/>
      <c r="H246" s="806"/>
    </row>
    <row r="247" spans="1:8" ht="14.25">
      <c r="A247" s="361" t="s">
        <v>541</v>
      </c>
      <c r="B247" s="362" t="s">
        <v>542</v>
      </c>
      <c r="C247" s="363" t="s">
        <v>543</v>
      </c>
      <c r="D247" s="364" t="s">
        <v>544</v>
      </c>
      <c r="E247" s="363" t="s">
        <v>545</v>
      </c>
      <c r="F247" s="379" t="s">
        <v>546</v>
      </c>
      <c r="G247" s="363" t="s">
        <v>547</v>
      </c>
      <c r="H247" s="366" t="s">
        <v>548</v>
      </c>
    </row>
    <row r="248" spans="1:8" ht="14.25">
      <c r="A248" s="380" t="s">
        <v>419</v>
      </c>
      <c r="B248" s="368" t="s">
        <v>549</v>
      </c>
      <c r="C248" s="381">
        <v>88316</v>
      </c>
      <c r="D248" s="370" t="s">
        <v>554</v>
      </c>
      <c r="E248" s="371" t="s">
        <v>88</v>
      </c>
      <c r="F248" s="382">
        <v>0.2</v>
      </c>
      <c r="G248" s="373">
        <v>12.05</v>
      </c>
      <c r="H248" s="383">
        <f aca="true" t="shared" si="33" ref="H248:H249">ROUND(G248*F248,2)</f>
        <v>2.41</v>
      </c>
    </row>
    <row r="249" spans="1:8" ht="71.25">
      <c r="A249" s="380" t="s">
        <v>419</v>
      </c>
      <c r="B249" s="368" t="s">
        <v>556</v>
      </c>
      <c r="C249" s="381">
        <v>37558</v>
      </c>
      <c r="D249" s="370" t="s">
        <v>649</v>
      </c>
      <c r="E249" s="371" t="s">
        <v>38</v>
      </c>
      <c r="F249" s="382">
        <v>1</v>
      </c>
      <c r="G249" s="373">
        <v>27.96</v>
      </c>
      <c r="H249" s="383">
        <f t="shared" si="33"/>
        <v>27.96</v>
      </c>
    </row>
    <row r="250" spans="1:8" ht="15" thickBot="1">
      <c r="A250" s="375" t="s">
        <v>551</v>
      </c>
      <c r="B250" s="807" t="s">
        <v>650</v>
      </c>
      <c r="C250" s="808"/>
      <c r="D250" s="808"/>
      <c r="E250" s="809"/>
      <c r="F250" s="384"/>
      <c r="G250" s="377" t="s">
        <v>552</v>
      </c>
      <c r="H250" s="385">
        <f>SUM(H248:H249)</f>
        <v>30.37</v>
      </c>
    </row>
    <row r="251" spans="1:8" ht="15" thickBot="1">
      <c r="A251" s="355"/>
      <c r="B251" s="355"/>
      <c r="C251" s="355"/>
      <c r="D251" s="355"/>
      <c r="E251" s="355"/>
      <c r="F251" s="355"/>
      <c r="G251" s="355"/>
      <c r="H251" s="355"/>
    </row>
    <row r="252" spans="1:8" ht="18">
      <c r="A252" s="811">
        <v>29</v>
      </c>
      <c r="B252" s="812"/>
      <c r="C252" s="812"/>
      <c r="D252" s="812"/>
      <c r="E252" s="812"/>
      <c r="F252" s="813"/>
      <c r="G252" s="358" t="s">
        <v>538</v>
      </c>
      <c r="H252" s="359" t="str">
        <f>UPPER(VLOOKUP(B253,'[3]Orçamento'!D:I,2,0))</f>
        <v>UN</v>
      </c>
    </row>
    <row r="253" spans="1:8" ht="14.25">
      <c r="A253" s="360" t="s">
        <v>539</v>
      </c>
      <c r="B253" s="804" t="s">
        <v>530</v>
      </c>
      <c r="C253" s="805"/>
      <c r="D253" s="805"/>
      <c r="E253" s="805"/>
      <c r="F253" s="805"/>
      <c r="G253" s="805"/>
      <c r="H253" s="806"/>
    </row>
    <row r="254" spans="1:8" ht="14.25">
      <c r="A254" s="361" t="s">
        <v>541</v>
      </c>
      <c r="B254" s="362" t="s">
        <v>542</v>
      </c>
      <c r="C254" s="363" t="s">
        <v>543</v>
      </c>
      <c r="D254" s="364" t="s">
        <v>544</v>
      </c>
      <c r="E254" s="363" t="s">
        <v>545</v>
      </c>
      <c r="F254" s="379" t="s">
        <v>546</v>
      </c>
      <c r="G254" s="363" t="s">
        <v>547</v>
      </c>
      <c r="H254" s="366" t="s">
        <v>548</v>
      </c>
    </row>
    <row r="255" spans="1:8" ht="14.25">
      <c r="A255" s="380" t="s">
        <v>419</v>
      </c>
      <c r="B255" s="368" t="s">
        <v>549</v>
      </c>
      <c r="C255" s="381">
        <v>88316</v>
      </c>
      <c r="D255" s="370" t="s">
        <v>554</v>
      </c>
      <c r="E255" s="371" t="s">
        <v>88</v>
      </c>
      <c r="F255" s="382">
        <v>0.2</v>
      </c>
      <c r="G255" s="373">
        <v>12.05</v>
      </c>
      <c r="H255" s="383">
        <f aca="true" t="shared" si="34" ref="H255:H256">ROUND(G255*F255,2)</f>
        <v>2.41</v>
      </c>
    </row>
    <row r="256" spans="1:8" ht="71.25">
      <c r="A256" s="380" t="s">
        <v>419</v>
      </c>
      <c r="B256" s="368" t="s">
        <v>556</v>
      </c>
      <c r="C256" s="381">
        <v>37539</v>
      </c>
      <c r="D256" s="370" t="s">
        <v>651</v>
      </c>
      <c r="E256" s="371" t="s">
        <v>38</v>
      </c>
      <c r="F256" s="382">
        <v>1</v>
      </c>
      <c r="G256" s="373">
        <v>15</v>
      </c>
      <c r="H256" s="383">
        <f t="shared" si="34"/>
        <v>15</v>
      </c>
    </row>
    <row r="257" spans="1:8" ht="15" thickBot="1">
      <c r="A257" s="375" t="s">
        <v>551</v>
      </c>
      <c r="B257" s="807" t="s">
        <v>650</v>
      </c>
      <c r="C257" s="808"/>
      <c r="D257" s="808"/>
      <c r="E257" s="809"/>
      <c r="F257" s="384"/>
      <c r="G257" s="377" t="s">
        <v>552</v>
      </c>
      <c r="H257" s="385">
        <f>SUM(H255:H256)</f>
        <v>17.41</v>
      </c>
    </row>
    <row r="258" spans="1:8" ht="15" thickBot="1">
      <c r="A258" s="355"/>
      <c r="B258" s="355"/>
      <c r="C258" s="355"/>
      <c r="D258" s="355"/>
      <c r="E258" s="355"/>
      <c r="F258" s="355"/>
      <c r="G258" s="355"/>
      <c r="H258" s="355"/>
    </row>
    <row r="259" spans="1:8" ht="18">
      <c r="A259" s="811">
        <v>30</v>
      </c>
      <c r="B259" s="812"/>
      <c r="C259" s="812"/>
      <c r="D259" s="812"/>
      <c r="E259" s="812"/>
      <c r="F259" s="813"/>
      <c r="G259" s="358" t="s">
        <v>538</v>
      </c>
      <c r="H259" s="359" t="str">
        <f>UPPER(VLOOKUP(B260,'[3]Orçamento'!D:I,2,0))</f>
        <v>UN</v>
      </c>
    </row>
    <row r="260" spans="1:8" ht="14.25">
      <c r="A260" s="360" t="s">
        <v>539</v>
      </c>
      <c r="B260" s="804" t="s">
        <v>533</v>
      </c>
      <c r="C260" s="805"/>
      <c r="D260" s="805"/>
      <c r="E260" s="805"/>
      <c r="F260" s="805"/>
      <c r="G260" s="805"/>
      <c r="H260" s="806"/>
    </row>
    <row r="261" spans="1:8" ht="14.25">
      <c r="A261" s="361" t="s">
        <v>541</v>
      </c>
      <c r="B261" s="362" t="s">
        <v>542</v>
      </c>
      <c r="C261" s="363" t="s">
        <v>543</v>
      </c>
      <c r="D261" s="364" t="s">
        <v>544</v>
      </c>
      <c r="E261" s="363" t="s">
        <v>545</v>
      </c>
      <c r="F261" s="379" t="s">
        <v>546</v>
      </c>
      <c r="G261" s="363" t="s">
        <v>547</v>
      </c>
      <c r="H261" s="366" t="s">
        <v>548</v>
      </c>
    </row>
    <row r="262" spans="1:8" ht="14.25">
      <c r="A262" s="380" t="s">
        <v>419</v>
      </c>
      <c r="B262" s="368" t="s">
        <v>549</v>
      </c>
      <c r="C262" s="381">
        <v>88316</v>
      </c>
      <c r="D262" s="370" t="s">
        <v>554</v>
      </c>
      <c r="E262" s="371" t="s">
        <v>88</v>
      </c>
      <c r="F262" s="382">
        <v>0.25</v>
      </c>
      <c r="G262" s="373">
        <v>12.05</v>
      </c>
      <c r="H262" s="383">
        <f aca="true" t="shared" si="35" ref="H262:H263">ROUND(G262*F262,2)</f>
        <v>3.01</v>
      </c>
    </row>
    <row r="263" spans="1:8" ht="71.25">
      <c r="A263" s="380" t="s">
        <v>419</v>
      </c>
      <c r="B263" s="368" t="s">
        <v>556</v>
      </c>
      <c r="C263" s="381">
        <v>37558</v>
      </c>
      <c r="D263" s="370" t="s">
        <v>649</v>
      </c>
      <c r="E263" s="371" t="s">
        <v>38</v>
      </c>
      <c r="F263" s="382">
        <v>1</v>
      </c>
      <c r="G263" s="373">
        <v>27.96</v>
      </c>
      <c r="H263" s="383">
        <f t="shared" si="35"/>
        <v>27.96</v>
      </c>
    </row>
    <row r="264" spans="1:8" ht="15" thickBot="1">
      <c r="A264" s="375" t="s">
        <v>551</v>
      </c>
      <c r="B264" s="807" t="s">
        <v>650</v>
      </c>
      <c r="C264" s="808"/>
      <c r="D264" s="808"/>
      <c r="E264" s="809"/>
      <c r="F264" s="384"/>
      <c r="G264" s="377" t="s">
        <v>552</v>
      </c>
      <c r="H264" s="385">
        <f>SUM(H262:H263)</f>
        <v>30.97</v>
      </c>
    </row>
    <row r="265" spans="1:8" ht="15" thickBot="1">
      <c r="A265" s="355"/>
      <c r="B265" s="355"/>
      <c r="C265" s="355"/>
      <c r="D265" s="355"/>
      <c r="E265" s="355"/>
      <c r="F265" s="355"/>
      <c r="G265" s="355"/>
      <c r="H265" s="355"/>
    </row>
    <row r="266" spans="1:8" ht="18">
      <c r="A266" s="811">
        <v>31</v>
      </c>
      <c r="B266" s="812"/>
      <c r="C266" s="812"/>
      <c r="D266" s="812"/>
      <c r="E266" s="812"/>
      <c r="F266" s="813"/>
      <c r="G266" s="358" t="s">
        <v>538</v>
      </c>
      <c r="H266" s="359" t="str">
        <f>UPPER(VLOOKUP(B267,'[3]Orçamento'!D:I,2,0))</f>
        <v>M2</v>
      </c>
    </row>
    <row r="267" spans="1:8" ht="14.25">
      <c r="A267" s="360" t="s">
        <v>539</v>
      </c>
      <c r="B267" s="804" t="s">
        <v>652</v>
      </c>
      <c r="C267" s="805"/>
      <c r="D267" s="805"/>
      <c r="E267" s="805"/>
      <c r="F267" s="805"/>
      <c r="G267" s="805"/>
      <c r="H267" s="806"/>
    </row>
    <row r="268" spans="1:8" ht="14.25">
      <c r="A268" s="361" t="s">
        <v>541</v>
      </c>
      <c r="B268" s="362" t="s">
        <v>542</v>
      </c>
      <c r="C268" s="363" t="s">
        <v>543</v>
      </c>
      <c r="D268" s="364" t="s">
        <v>544</v>
      </c>
      <c r="E268" s="363" t="s">
        <v>545</v>
      </c>
      <c r="F268" s="379" t="s">
        <v>546</v>
      </c>
      <c r="G268" s="363" t="s">
        <v>547</v>
      </c>
      <c r="H268" s="366" t="s">
        <v>548</v>
      </c>
    </row>
    <row r="269" spans="1:8" ht="14.25">
      <c r="A269" s="380" t="s">
        <v>419</v>
      </c>
      <c r="B269" s="368" t="s">
        <v>549</v>
      </c>
      <c r="C269" s="381">
        <v>88309</v>
      </c>
      <c r="D269" s="370" t="s">
        <v>617</v>
      </c>
      <c r="E269" s="371" t="s">
        <v>88</v>
      </c>
      <c r="F269" s="382">
        <v>1.2</v>
      </c>
      <c r="G269" s="373">
        <v>15.15</v>
      </c>
      <c r="H269" s="383">
        <f aca="true" t="shared" si="36" ref="H269:H273">ROUND(G269*F269,2)</f>
        <v>18.18</v>
      </c>
    </row>
    <row r="270" spans="1:8" ht="14.25">
      <c r="A270" s="380" t="s">
        <v>419</v>
      </c>
      <c r="B270" s="368" t="s">
        <v>549</v>
      </c>
      <c r="C270" s="381">
        <v>88316</v>
      </c>
      <c r="D270" s="370" t="s">
        <v>554</v>
      </c>
      <c r="E270" s="371" t="s">
        <v>88</v>
      </c>
      <c r="F270" s="382">
        <v>2</v>
      </c>
      <c r="G270" s="373">
        <v>12.05</v>
      </c>
      <c r="H270" s="383">
        <f t="shared" si="36"/>
        <v>24.1</v>
      </c>
    </row>
    <row r="271" spans="1:8" ht="28.5">
      <c r="A271" s="380" t="s">
        <v>419</v>
      </c>
      <c r="B271" s="368" t="s">
        <v>556</v>
      </c>
      <c r="C271" s="381">
        <v>367</v>
      </c>
      <c r="D271" s="370" t="s">
        <v>653</v>
      </c>
      <c r="E271" s="371" t="s">
        <v>92</v>
      </c>
      <c r="F271" s="382">
        <v>0.008</v>
      </c>
      <c r="G271" s="373">
        <v>70</v>
      </c>
      <c r="H271" s="383">
        <f t="shared" si="36"/>
        <v>0.56</v>
      </c>
    </row>
    <row r="272" spans="1:8" ht="14.25">
      <c r="A272" s="380" t="s">
        <v>419</v>
      </c>
      <c r="B272" s="368" t="s">
        <v>556</v>
      </c>
      <c r="C272" s="381">
        <v>1379</v>
      </c>
      <c r="D272" s="370" t="s">
        <v>90</v>
      </c>
      <c r="E272" s="371" t="s">
        <v>54</v>
      </c>
      <c r="F272" s="382">
        <v>3.2</v>
      </c>
      <c r="G272" s="373">
        <v>0.5</v>
      </c>
      <c r="H272" s="383">
        <f t="shared" si="36"/>
        <v>1.6</v>
      </c>
    </row>
    <row r="273" spans="1:8" ht="28.5">
      <c r="A273" s="380" t="s">
        <v>419</v>
      </c>
      <c r="B273" s="368" t="s">
        <v>556</v>
      </c>
      <c r="C273" s="381">
        <v>10841</v>
      </c>
      <c r="D273" s="370" t="s">
        <v>654</v>
      </c>
      <c r="E273" s="371" t="s">
        <v>399</v>
      </c>
      <c r="F273" s="382">
        <v>1</v>
      </c>
      <c r="G273" s="373">
        <v>270.76</v>
      </c>
      <c r="H273" s="383">
        <f t="shared" si="36"/>
        <v>270.76</v>
      </c>
    </row>
    <row r="274" spans="1:8" ht="15" thickBot="1">
      <c r="A274" s="375" t="s">
        <v>551</v>
      </c>
      <c r="B274" s="807" t="s">
        <v>655</v>
      </c>
      <c r="C274" s="808"/>
      <c r="D274" s="808"/>
      <c r="E274" s="809"/>
      <c r="F274" s="384"/>
      <c r="G274" s="377" t="s">
        <v>552</v>
      </c>
      <c r="H274" s="385">
        <f>SUM(H269:H273)</f>
        <v>315.2</v>
      </c>
    </row>
    <row r="275" spans="1:8" ht="15" thickBot="1">
      <c r="A275" s="355"/>
      <c r="B275" s="355"/>
      <c r="C275" s="355"/>
      <c r="D275" s="355"/>
      <c r="E275" s="355"/>
      <c r="F275" s="355"/>
      <c r="G275" s="355"/>
      <c r="H275" s="355"/>
    </row>
    <row r="276" spans="1:8" ht="18">
      <c r="A276" s="811">
        <v>32</v>
      </c>
      <c r="B276" s="812"/>
      <c r="C276" s="812"/>
      <c r="D276" s="812"/>
      <c r="E276" s="812"/>
      <c r="F276" s="813"/>
      <c r="G276" s="358" t="s">
        <v>538</v>
      </c>
      <c r="H276" s="359" t="str">
        <f>UPPER(VLOOKUP(B277,'[3]Orçamento'!D:I,2,0))</f>
        <v>UN</v>
      </c>
    </row>
    <row r="277" spans="1:8" ht="14.25">
      <c r="A277" s="360" t="s">
        <v>539</v>
      </c>
      <c r="B277" s="804" t="s">
        <v>656</v>
      </c>
      <c r="C277" s="805"/>
      <c r="D277" s="805"/>
      <c r="E277" s="805"/>
      <c r="F277" s="805"/>
      <c r="G277" s="805"/>
      <c r="H277" s="806"/>
    </row>
    <row r="278" spans="1:8" ht="14.25">
      <c r="A278" s="361" t="s">
        <v>541</v>
      </c>
      <c r="B278" s="362" t="s">
        <v>542</v>
      </c>
      <c r="C278" s="363" t="s">
        <v>543</v>
      </c>
      <c r="D278" s="364" t="s">
        <v>544</v>
      </c>
      <c r="E278" s="363" t="s">
        <v>545</v>
      </c>
      <c r="F278" s="379" t="s">
        <v>546</v>
      </c>
      <c r="G278" s="363" t="s">
        <v>547</v>
      </c>
      <c r="H278" s="366" t="s">
        <v>548</v>
      </c>
    </row>
    <row r="279" spans="1:8" ht="14.25">
      <c r="A279" s="380" t="s">
        <v>419</v>
      </c>
      <c r="B279" s="368" t="s">
        <v>549</v>
      </c>
      <c r="C279" s="381">
        <v>88309</v>
      </c>
      <c r="D279" s="370" t="s">
        <v>617</v>
      </c>
      <c r="E279" s="371" t="s">
        <v>88</v>
      </c>
      <c r="F279" s="382">
        <v>0.3</v>
      </c>
      <c r="G279" s="373">
        <v>15.15</v>
      </c>
      <c r="H279" s="383">
        <f aca="true" t="shared" si="37" ref="H279:H281">ROUND(G279*F279,2)</f>
        <v>4.55</v>
      </c>
    </row>
    <row r="280" spans="1:8" ht="14.25">
      <c r="A280" s="380" t="s">
        <v>419</v>
      </c>
      <c r="B280" s="368" t="s">
        <v>549</v>
      </c>
      <c r="C280" s="381">
        <v>88316</v>
      </c>
      <c r="D280" s="370" t="s">
        <v>554</v>
      </c>
      <c r="E280" s="371" t="s">
        <v>88</v>
      </c>
      <c r="F280" s="382">
        <v>0.15</v>
      </c>
      <c r="G280" s="373">
        <v>12.05</v>
      </c>
      <c r="H280" s="383">
        <f t="shared" si="37"/>
        <v>1.81</v>
      </c>
    </row>
    <row r="281" spans="1:8" ht="28.5">
      <c r="A281" s="380" t="s">
        <v>419</v>
      </c>
      <c r="B281" s="368" t="s">
        <v>549</v>
      </c>
      <c r="C281" s="381">
        <v>88629</v>
      </c>
      <c r="D281" s="370" t="s">
        <v>618</v>
      </c>
      <c r="E281" s="371" t="s">
        <v>92</v>
      </c>
      <c r="F281" s="382">
        <v>0.001</v>
      </c>
      <c r="G281" s="373">
        <v>348.3</v>
      </c>
      <c r="H281" s="383">
        <f t="shared" si="37"/>
        <v>0.35</v>
      </c>
    </row>
    <row r="282" spans="1:8" ht="42.75">
      <c r="A282" s="380" t="s">
        <v>419</v>
      </c>
      <c r="B282" s="368" t="s">
        <v>556</v>
      </c>
      <c r="C282" s="381">
        <v>559</v>
      </c>
      <c r="D282" s="370" t="s">
        <v>657</v>
      </c>
      <c r="E282" s="371" t="s">
        <v>26</v>
      </c>
      <c r="F282" s="382">
        <v>0.65</v>
      </c>
      <c r="G282" s="373">
        <v>9.28</v>
      </c>
      <c r="H282" s="383">
        <f>ROUND(G282*F282,2)</f>
        <v>6.03</v>
      </c>
    </row>
    <row r="283" spans="1:8" ht="57">
      <c r="A283" s="380" t="s">
        <v>419</v>
      </c>
      <c r="B283" s="368" t="s">
        <v>549</v>
      </c>
      <c r="C283" s="381" t="s">
        <v>658</v>
      </c>
      <c r="D283" s="370" t="s">
        <v>659</v>
      </c>
      <c r="E283" s="371" t="s">
        <v>399</v>
      </c>
      <c r="F283" s="382">
        <v>0.065</v>
      </c>
      <c r="G283" s="373">
        <v>11.85</v>
      </c>
      <c r="H283" s="383">
        <f>ROUND(G283*F283,2)</f>
        <v>0.77</v>
      </c>
    </row>
    <row r="284" spans="1:8" ht="15" thickBot="1">
      <c r="A284" s="375" t="s">
        <v>551</v>
      </c>
      <c r="B284" s="807" t="s">
        <v>660</v>
      </c>
      <c r="C284" s="808"/>
      <c r="D284" s="808"/>
      <c r="E284" s="809"/>
      <c r="F284" s="384"/>
      <c r="G284" s="377" t="s">
        <v>552</v>
      </c>
      <c r="H284" s="385">
        <f>SUM(H279:H283)</f>
        <v>13.509999999999998</v>
      </c>
    </row>
    <row r="285" spans="1:8" ht="15" thickBot="1">
      <c r="A285" s="355"/>
      <c r="B285" s="355"/>
      <c r="C285" s="355"/>
      <c r="D285" s="355"/>
      <c r="E285" s="355"/>
      <c r="F285" s="355"/>
      <c r="G285" s="355"/>
      <c r="H285" s="355"/>
    </row>
    <row r="286" spans="1:8" ht="18">
      <c r="A286" s="811">
        <v>33</v>
      </c>
      <c r="B286" s="812"/>
      <c r="C286" s="812"/>
      <c r="D286" s="812"/>
      <c r="E286" s="812"/>
      <c r="F286" s="813"/>
      <c r="G286" s="358" t="s">
        <v>538</v>
      </c>
      <c r="H286" s="359" t="str">
        <f>UPPER(VLOOKUP(B287,'[3]Orçamento'!D:I,2,0))</f>
        <v>UN</v>
      </c>
    </row>
    <row r="287" spans="1:8" ht="14.25">
      <c r="A287" s="360" t="s">
        <v>539</v>
      </c>
      <c r="B287" s="804" t="s">
        <v>661</v>
      </c>
      <c r="C287" s="805"/>
      <c r="D287" s="805"/>
      <c r="E287" s="805"/>
      <c r="F287" s="805"/>
      <c r="G287" s="805"/>
      <c r="H287" s="806"/>
    </row>
    <row r="288" spans="1:8" ht="14.25">
      <c r="A288" s="361" t="s">
        <v>541</v>
      </c>
      <c r="B288" s="362" t="s">
        <v>542</v>
      </c>
      <c r="C288" s="363" t="s">
        <v>543</v>
      </c>
      <c r="D288" s="364" t="s">
        <v>544</v>
      </c>
      <c r="E288" s="363" t="s">
        <v>545</v>
      </c>
      <c r="F288" s="379" t="s">
        <v>546</v>
      </c>
      <c r="G288" s="363" t="s">
        <v>547</v>
      </c>
      <c r="H288" s="366" t="s">
        <v>548</v>
      </c>
    </row>
    <row r="289" spans="1:8" ht="14.25">
      <c r="A289" s="380" t="s">
        <v>419</v>
      </c>
      <c r="B289" s="368" t="s">
        <v>549</v>
      </c>
      <c r="C289" s="381">
        <v>88309</v>
      </c>
      <c r="D289" s="370" t="s">
        <v>617</v>
      </c>
      <c r="E289" s="371" t="s">
        <v>88</v>
      </c>
      <c r="F289" s="382">
        <v>0.3</v>
      </c>
      <c r="G289" s="373">
        <v>15.15</v>
      </c>
      <c r="H289" s="383">
        <f aca="true" t="shared" si="38" ref="H289:H291">ROUND(G289*F289,2)</f>
        <v>4.55</v>
      </c>
    </row>
    <row r="290" spans="1:8" ht="14.25">
      <c r="A290" s="380" t="s">
        <v>419</v>
      </c>
      <c r="B290" s="368" t="s">
        <v>549</v>
      </c>
      <c r="C290" s="381">
        <v>88316</v>
      </c>
      <c r="D290" s="370" t="s">
        <v>554</v>
      </c>
      <c r="E290" s="371" t="s">
        <v>88</v>
      </c>
      <c r="F290" s="382">
        <v>0.15</v>
      </c>
      <c r="G290" s="373">
        <v>12.05</v>
      </c>
      <c r="H290" s="383">
        <f t="shared" si="38"/>
        <v>1.81</v>
      </c>
    </row>
    <row r="291" spans="1:8" ht="28.5">
      <c r="A291" s="380" t="s">
        <v>419</v>
      </c>
      <c r="B291" s="368" t="s">
        <v>549</v>
      </c>
      <c r="C291" s="381">
        <v>88629</v>
      </c>
      <c r="D291" s="370" t="s">
        <v>618</v>
      </c>
      <c r="E291" s="371" t="s">
        <v>92</v>
      </c>
      <c r="F291" s="382">
        <v>0.001</v>
      </c>
      <c r="G291" s="373">
        <v>348.3</v>
      </c>
      <c r="H291" s="383">
        <f t="shared" si="38"/>
        <v>0.35</v>
      </c>
    </row>
    <row r="292" spans="1:8" ht="42.75">
      <c r="A292" s="380" t="s">
        <v>419</v>
      </c>
      <c r="B292" s="368" t="s">
        <v>556</v>
      </c>
      <c r="C292" s="381">
        <v>559</v>
      </c>
      <c r="D292" s="370" t="s">
        <v>657</v>
      </c>
      <c r="E292" s="371" t="s">
        <v>26</v>
      </c>
      <c r="F292" s="382">
        <v>0.55</v>
      </c>
      <c r="G292" s="373">
        <v>9.28</v>
      </c>
      <c r="H292" s="383">
        <f>ROUND(G292*F292,2)</f>
        <v>5.1</v>
      </c>
    </row>
    <row r="293" spans="1:8" ht="57">
      <c r="A293" s="380" t="s">
        <v>419</v>
      </c>
      <c r="B293" s="368" t="s">
        <v>549</v>
      </c>
      <c r="C293" s="381" t="s">
        <v>658</v>
      </c>
      <c r="D293" s="370" t="s">
        <v>659</v>
      </c>
      <c r="E293" s="371" t="s">
        <v>399</v>
      </c>
      <c r="F293" s="382">
        <v>0.055</v>
      </c>
      <c r="G293" s="373">
        <v>11.85</v>
      </c>
      <c r="H293" s="383">
        <f>ROUND(G293*F293,2)</f>
        <v>0.65</v>
      </c>
    </row>
    <row r="294" spans="1:8" ht="15" thickBot="1">
      <c r="A294" s="375" t="s">
        <v>551</v>
      </c>
      <c r="B294" s="807" t="s">
        <v>660</v>
      </c>
      <c r="C294" s="808"/>
      <c r="D294" s="808"/>
      <c r="E294" s="809"/>
      <c r="F294" s="384"/>
      <c r="G294" s="377" t="s">
        <v>552</v>
      </c>
      <c r="H294" s="385">
        <f>SUM(H289:H293)</f>
        <v>12.459999999999999</v>
      </c>
    </row>
    <row r="295" spans="1:8" ht="15" thickBot="1">
      <c r="A295" s="355"/>
      <c r="B295" s="355"/>
      <c r="C295" s="355"/>
      <c r="D295" s="355"/>
      <c r="E295" s="355"/>
      <c r="F295" s="355"/>
      <c r="G295" s="355"/>
      <c r="H295" s="355"/>
    </row>
    <row r="296" spans="1:8" ht="18">
      <c r="A296" s="811">
        <v>34</v>
      </c>
      <c r="B296" s="812"/>
      <c r="C296" s="812"/>
      <c r="D296" s="812"/>
      <c r="E296" s="812"/>
      <c r="F296" s="813"/>
      <c r="G296" s="358" t="s">
        <v>538</v>
      </c>
      <c r="H296" s="359" t="str">
        <f>UPPER(VLOOKUP(B297,'[3]Orçamento'!D:I,2,0))</f>
        <v>UN</v>
      </c>
    </row>
    <row r="297" spans="1:8" ht="14.25">
      <c r="A297" s="360" t="s">
        <v>539</v>
      </c>
      <c r="B297" s="804" t="s">
        <v>662</v>
      </c>
      <c r="C297" s="805"/>
      <c r="D297" s="805"/>
      <c r="E297" s="805"/>
      <c r="F297" s="805"/>
      <c r="G297" s="805"/>
      <c r="H297" s="806"/>
    </row>
    <row r="298" spans="1:8" ht="14.25">
      <c r="A298" s="361" t="s">
        <v>541</v>
      </c>
      <c r="B298" s="362" t="s">
        <v>542</v>
      </c>
      <c r="C298" s="363" t="s">
        <v>543</v>
      </c>
      <c r="D298" s="364" t="s">
        <v>544</v>
      </c>
      <c r="E298" s="363" t="s">
        <v>545</v>
      </c>
      <c r="F298" s="379" t="s">
        <v>546</v>
      </c>
      <c r="G298" s="363" t="s">
        <v>547</v>
      </c>
      <c r="H298" s="366" t="s">
        <v>548</v>
      </c>
    </row>
    <row r="299" spans="1:8" ht="14.25">
      <c r="A299" s="380" t="s">
        <v>419</v>
      </c>
      <c r="B299" s="368" t="s">
        <v>549</v>
      </c>
      <c r="C299" s="381">
        <v>88309</v>
      </c>
      <c r="D299" s="370" t="s">
        <v>617</v>
      </c>
      <c r="E299" s="371" t="s">
        <v>88</v>
      </c>
      <c r="F299" s="382">
        <v>0.3</v>
      </c>
      <c r="G299" s="373">
        <v>15.15</v>
      </c>
      <c r="H299" s="383">
        <f aca="true" t="shared" si="39" ref="H299:H301">ROUND(G299*F299,2)</f>
        <v>4.55</v>
      </c>
    </row>
    <row r="300" spans="1:8" ht="14.25">
      <c r="A300" s="380" t="s">
        <v>419</v>
      </c>
      <c r="B300" s="368" t="s">
        <v>549</v>
      </c>
      <c r="C300" s="381">
        <v>88316</v>
      </c>
      <c r="D300" s="370" t="s">
        <v>554</v>
      </c>
      <c r="E300" s="371" t="s">
        <v>88</v>
      </c>
      <c r="F300" s="382">
        <v>0.15</v>
      </c>
      <c r="G300" s="373">
        <v>12.05</v>
      </c>
      <c r="H300" s="383">
        <f t="shared" si="39"/>
        <v>1.81</v>
      </c>
    </row>
    <row r="301" spans="1:8" ht="28.5">
      <c r="A301" s="380" t="s">
        <v>419</v>
      </c>
      <c r="B301" s="368" t="s">
        <v>549</v>
      </c>
      <c r="C301" s="381">
        <v>88629</v>
      </c>
      <c r="D301" s="370" t="s">
        <v>618</v>
      </c>
      <c r="E301" s="371" t="s">
        <v>92</v>
      </c>
      <c r="F301" s="382">
        <v>0.001</v>
      </c>
      <c r="G301" s="373">
        <v>348.3</v>
      </c>
      <c r="H301" s="383">
        <f t="shared" si="39"/>
        <v>0.35</v>
      </c>
    </row>
    <row r="302" spans="1:8" ht="42.75">
      <c r="A302" s="380" t="s">
        <v>419</v>
      </c>
      <c r="B302" s="368" t="s">
        <v>549</v>
      </c>
      <c r="C302" s="381">
        <v>6391</v>
      </c>
      <c r="D302" s="370" t="s">
        <v>663</v>
      </c>
      <c r="E302" s="371" t="s">
        <v>26</v>
      </c>
      <c r="F302" s="382">
        <v>0.35</v>
      </c>
      <c r="G302" s="373">
        <v>107.94</v>
      </c>
      <c r="H302" s="383">
        <f>ROUND(G302*F302,2)</f>
        <v>37.78</v>
      </c>
    </row>
    <row r="303" spans="1:8" ht="42.75">
      <c r="A303" s="380" t="s">
        <v>419</v>
      </c>
      <c r="B303" s="368" t="s">
        <v>556</v>
      </c>
      <c r="C303" s="381">
        <v>559</v>
      </c>
      <c r="D303" s="370" t="s">
        <v>657</v>
      </c>
      <c r="E303" s="371" t="s">
        <v>26</v>
      </c>
      <c r="F303" s="382">
        <v>0.7</v>
      </c>
      <c r="G303" s="373">
        <v>9.28</v>
      </c>
      <c r="H303" s="383">
        <f>ROUND(G303*F303,2)</f>
        <v>6.5</v>
      </c>
    </row>
    <row r="304" spans="1:8" ht="57">
      <c r="A304" s="380" t="s">
        <v>419</v>
      </c>
      <c r="B304" s="368" t="s">
        <v>549</v>
      </c>
      <c r="C304" s="381" t="s">
        <v>658</v>
      </c>
      <c r="D304" s="370" t="s">
        <v>659</v>
      </c>
      <c r="E304" s="371" t="s">
        <v>399</v>
      </c>
      <c r="F304" s="382">
        <v>0.07</v>
      </c>
      <c r="G304" s="373">
        <v>11.85</v>
      </c>
      <c r="H304" s="383">
        <f>ROUND(G304*F304,2)</f>
        <v>0.83</v>
      </c>
    </row>
    <row r="305" spans="1:8" ht="15" thickBot="1">
      <c r="A305" s="375" t="s">
        <v>551</v>
      </c>
      <c r="B305" s="807" t="s">
        <v>660</v>
      </c>
      <c r="C305" s="808"/>
      <c r="D305" s="808"/>
      <c r="E305" s="809"/>
      <c r="F305" s="384"/>
      <c r="G305" s="377" t="s">
        <v>552</v>
      </c>
      <c r="H305" s="385">
        <f>SUM(H299:H304)</f>
        <v>51.82</v>
      </c>
    </row>
    <row r="306" spans="1:8" ht="15" thickBot="1">
      <c r="A306" s="355"/>
      <c r="B306" s="355"/>
      <c r="C306" s="355"/>
      <c r="D306" s="355"/>
      <c r="E306" s="355"/>
      <c r="F306" s="355"/>
      <c r="G306" s="355"/>
      <c r="H306" s="355"/>
    </row>
    <row r="307" spans="1:8" ht="18">
      <c r="A307" s="811">
        <v>35</v>
      </c>
      <c r="B307" s="812"/>
      <c r="C307" s="812"/>
      <c r="D307" s="812"/>
      <c r="E307" s="812"/>
      <c r="F307" s="813"/>
      <c r="G307" s="358" t="s">
        <v>538</v>
      </c>
      <c r="H307" s="359" t="str">
        <f>UPPER(VLOOKUP(B308,'[3]Orçamento'!D:I,2,0))</f>
        <v>UN</v>
      </c>
    </row>
    <row r="308" spans="1:8" ht="14.25">
      <c r="A308" s="360" t="s">
        <v>539</v>
      </c>
      <c r="B308" s="804" t="s">
        <v>664</v>
      </c>
      <c r="C308" s="805"/>
      <c r="D308" s="805"/>
      <c r="E308" s="805"/>
      <c r="F308" s="805"/>
      <c r="G308" s="805"/>
      <c r="H308" s="806"/>
    </row>
    <row r="309" spans="1:8" ht="14.25">
      <c r="A309" s="361" t="s">
        <v>541</v>
      </c>
      <c r="B309" s="362" t="s">
        <v>542</v>
      </c>
      <c r="C309" s="363" t="s">
        <v>543</v>
      </c>
      <c r="D309" s="364" t="s">
        <v>544</v>
      </c>
      <c r="E309" s="363" t="s">
        <v>545</v>
      </c>
      <c r="F309" s="379" t="s">
        <v>546</v>
      </c>
      <c r="G309" s="363" t="s">
        <v>547</v>
      </c>
      <c r="H309" s="366" t="s">
        <v>548</v>
      </c>
    </row>
    <row r="310" spans="1:8" ht="42.75">
      <c r="A310" s="380" t="s">
        <v>419</v>
      </c>
      <c r="B310" s="368" t="s">
        <v>556</v>
      </c>
      <c r="C310" s="381">
        <v>38605</v>
      </c>
      <c r="D310" s="370" t="s">
        <v>665</v>
      </c>
      <c r="E310" s="371" t="s">
        <v>38</v>
      </c>
      <c r="F310" s="382">
        <v>1</v>
      </c>
      <c r="G310" s="373">
        <v>79.07</v>
      </c>
      <c r="H310" s="383">
        <f aca="true" t="shared" si="40" ref="H310">ROUND(G310*F310,2)</f>
        <v>79.07</v>
      </c>
    </row>
    <row r="311" spans="1:8" ht="15" thickBot="1">
      <c r="A311" s="375" t="s">
        <v>551</v>
      </c>
      <c r="B311" s="807" t="s">
        <v>472</v>
      </c>
      <c r="C311" s="808"/>
      <c r="D311" s="808"/>
      <c r="E311" s="809"/>
      <c r="F311" s="384"/>
      <c r="G311" s="377" t="s">
        <v>552</v>
      </c>
      <c r="H311" s="385">
        <f>SUM(H310:H310)</f>
        <v>79.07</v>
      </c>
    </row>
    <row r="312" spans="1:8" ht="15" thickBot="1">
      <c r="A312" s="355"/>
      <c r="B312" s="355"/>
      <c r="C312" s="355"/>
      <c r="D312" s="355"/>
      <c r="E312" s="355"/>
      <c r="F312" s="355"/>
      <c r="G312" s="355"/>
      <c r="H312" s="355"/>
    </row>
    <row r="313" spans="1:8" ht="18">
      <c r="A313" s="811">
        <v>36</v>
      </c>
      <c r="B313" s="812"/>
      <c r="C313" s="812"/>
      <c r="D313" s="812"/>
      <c r="E313" s="812"/>
      <c r="F313" s="813"/>
      <c r="G313" s="358" t="s">
        <v>538</v>
      </c>
      <c r="H313" s="359" t="str">
        <f>UPPER(VLOOKUP(B314,'[3]Orçamento'!D:I,2,0))</f>
        <v>UN</v>
      </c>
    </row>
    <row r="314" spans="1:8" ht="14.25">
      <c r="A314" s="360" t="s">
        <v>539</v>
      </c>
      <c r="B314" s="804" t="s">
        <v>666</v>
      </c>
      <c r="C314" s="805"/>
      <c r="D314" s="805"/>
      <c r="E314" s="805"/>
      <c r="F314" s="805"/>
      <c r="G314" s="805"/>
      <c r="H314" s="806"/>
    </row>
    <row r="315" spans="1:8" ht="14.25">
      <c r="A315" s="361" t="s">
        <v>541</v>
      </c>
      <c r="B315" s="362" t="s">
        <v>542</v>
      </c>
      <c r="C315" s="363" t="s">
        <v>543</v>
      </c>
      <c r="D315" s="364" t="s">
        <v>544</v>
      </c>
      <c r="E315" s="363" t="s">
        <v>545</v>
      </c>
      <c r="F315" s="379" t="s">
        <v>546</v>
      </c>
      <c r="G315" s="363" t="s">
        <v>547</v>
      </c>
      <c r="H315" s="366" t="s">
        <v>548</v>
      </c>
    </row>
    <row r="316" spans="1:8" ht="42.75">
      <c r="A316" s="380" t="s">
        <v>419</v>
      </c>
      <c r="B316" s="368" t="s">
        <v>556</v>
      </c>
      <c r="C316" s="381">
        <v>38633</v>
      </c>
      <c r="D316" s="370" t="s">
        <v>667</v>
      </c>
      <c r="E316" s="371" t="s">
        <v>38</v>
      </c>
      <c r="F316" s="382">
        <v>1</v>
      </c>
      <c r="G316" s="373">
        <v>11.86</v>
      </c>
      <c r="H316" s="383">
        <f aca="true" t="shared" si="41" ref="H316">ROUND(G316*F316,2)</f>
        <v>11.86</v>
      </c>
    </row>
    <row r="317" spans="1:8" ht="15" thickBot="1">
      <c r="A317" s="375" t="s">
        <v>551</v>
      </c>
      <c r="B317" s="807" t="s">
        <v>472</v>
      </c>
      <c r="C317" s="808"/>
      <c r="D317" s="808"/>
      <c r="E317" s="809"/>
      <c r="F317" s="384"/>
      <c r="G317" s="377" t="s">
        <v>552</v>
      </c>
      <c r="H317" s="385">
        <f>SUM(H316:H316)</f>
        <v>11.86</v>
      </c>
    </row>
    <row r="318" spans="1:8" ht="14.25">
      <c r="A318" s="397"/>
      <c r="B318" s="398"/>
      <c r="C318" s="398"/>
      <c r="D318" s="398"/>
      <c r="E318" s="398"/>
      <c r="F318" s="399"/>
      <c r="G318" s="400"/>
      <c r="H318" s="401"/>
    </row>
    <row r="319" spans="1:8" ht="14.25">
      <c r="A319" s="810">
        <v>42605</v>
      </c>
      <c r="B319" s="810"/>
      <c r="C319" s="810"/>
      <c r="D319" s="810"/>
      <c r="E319" s="810"/>
      <c r="F319" s="810"/>
      <c r="G319" s="810"/>
      <c r="H319" s="810"/>
    </row>
    <row r="320" spans="1:8" ht="14.25">
      <c r="A320" s="355"/>
      <c r="B320" s="355"/>
      <c r="C320" s="355"/>
      <c r="D320" s="355"/>
      <c r="E320" s="386"/>
      <c r="F320" s="387"/>
      <c r="G320" s="355"/>
      <c r="H320" s="386"/>
    </row>
  </sheetData>
  <mergeCells count="111">
    <mergeCell ref="B1:F1"/>
    <mergeCell ref="A5:H5"/>
    <mergeCell ref="A6:F6"/>
    <mergeCell ref="B7:H7"/>
    <mergeCell ref="B11:E11"/>
    <mergeCell ref="A13:F13"/>
    <mergeCell ref="B26:H26"/>
    <mergeCell ref="B29:E29"/>
    <mergeCell ref="A31:F31"/>
    <mergeCell ref="B32:H32"/>
    <mergeCell ref="B39:E39"/>
    <mergeCell ref="A41:F41"/>
    <mergeCell ref="B14:H14"/>
    <mergeCell ref="B17:E17"/>
    <mergeCell ref="A19:F19"/>
    <mergeCell ref="B20:H20"/>
    <mergeCell ref="B23:E23"/>
    <mergeCell ref="A25:F25"/>
    <mergeCell ref="B68:H68"/>
    <mergeCell ref="B80:E80"/>
    <mergeCell ref="A82:F82"/>
    <mergeCell ref="B83:H83"/>
    <mergeCell ref="B90:E90"/>
    <mergeCell ref="A92:F92"/>
    <mergeCell ref="B42:H42"/>
    <mergeCell ref="B46:E46"/>
    <mergeCell ref="A48:F48"/>
    <mergeCell ref="B49:H49"/>
    <mergeCell ref="B65:E65"/>
    <mergeCell ref="A67:F67"/>
    <mergeCell ref="B114:H114"/>
    <mergeCell ref="B120:E120"/>
    <mergeCell ref="A122:F122"/>
    <mergeCell ref="B123:H123"/>
    <mergeCell ref="B134:E134"/>
    <mergeCell ref="A136:F136"/>
    <mergeCell ref="B93:H93"/>
    <mergeCell ref="B104:E104"/>
    <mergeCell ref="A106:F106"/>
    <mergeCell ref="B107:H107"/>
    <mergeCell ref="B111:E111"/>
    <mergeCell ref="A113:F113"/>
    <mergeCell ref="B152:H152"/>
    <mergeCell ref="B156:E156"/>
    <mergeCell ref="A158:F158"/>
    <mergeCell ref="B159:H159"/>
    <mergeCell ref="B163:E163"/>
    <mergeCell ref="A165:F165"/>
    <mergeCell ref="B137:H137"/>
    <mergeCell ref="B142:E142"/>
    <mergeCell ref="A144:F144"/>
    <mergeCell ref="B145:H145"/>
    <mergeCell ref="B149:E149"/>
    <mergeCell ref="A151:F151"/>
    <mergeCell ref="B182:H182"/>
    <mergeCell ref="B187:E187"/>
    <mergeCell ref="A189:F189"/>
    <mergeCell ref="B190:H190"/>
    <mergeCell ref="B195:E195"/>
    <mergeCell ref="A197:F197"/>
    <mergeCell ref="B166:H166"/>
    <mergeCell ref="B170:E170"/>
    <mergeCell ref="A172:F172"/>
    <mergeCell ref="B173:H173"/>
    <mergeCell ref="B179:E179"/>
    <mergeCell ref="A181:F181"/>
    <mergeCell ref="B214:H214"/>
    <mergeCell ref="B218:E218"/>
    <mergeCell ref="A220:F220"/>
    <mergeCell ref="B221:H221"/>
    <mergeCell ref="B227:E227"/>
    <mergeCell ref="A229:F229"/>
    <mergeCell ref="B198:H198"/>
    <mergeCell ref="B204:E204"/>
    <mergeCell ref="A206:F206"/>
    <mergeCell ref="B207:H207"/>
    <mergeCell ref="B211:E211"/>
    <mergeCell ref="A213:F213"/>
    <mergeCell ref="B246:H246"/>
    <mergeCell ref="B250:E250"/>
    <mergeCell ref="A252:F252"/>
    <mergeCell ref="B253:H253"/>
    <mergeCell ref="B257:E257"/>
    <mergeCell ref="A259:F259"/>
    <mergeCell ref="B230:H230"/>
    <mergeCell ref="B236:E236"/>
    <mergeCell ref="A238:F238"/>
    <mergeCell ref="B239:H239"/>
    <mergeCell ref="B243:E243"/>
    <mergeCell ref="A245:F245"/>
    <mergeCell ref="B277:H277"/>
    <mergeCell ref="B284:E284"/>
    <mergeCell ref="A286:F286"/>
    <mergeCell ref="B287:H287"/>
    <mergeCell ref="B294:E294"/>
    <mergeCell ref="A296:F296"/>
    <mergeCell ref="B260:H260"/>
    <mergeCell ref="B264:E264"/>
    <mergeCell ref="A266:F266"/>
    <mergeCell ref="B267:H267"/>
    <mergeCell ref="B274:E274"/>
    <mergeCell ref="A276:F276"/>
    <mergeCell ref="B314:H314"/>
    <mergeCell ref="B317:E317"/>
    <mergeCell ref="A319:H319"/>
    <mergeCell ref="B297:H297"/>
    <mergeCell ref="B305:E305"/>
    <mergeCell ref="A307:F307"/>
    <mergeCell ref="B308:H308"/>
    <mergeCell ref="B311:E311"/>
    <mergeCell ref="A313:F313"/>
  </mergeCells>
  <conditionalFormatting sqref="H65:H69 H61 H44 H46:H55 H130 H318:H320 H80:H84 H86:H88 H71:H73 H90:H94 H17 H104 H30:H39 H164:H170 H237:H264 H112:H128 H180:H195 H1:H11">
    <cfRule type="containsErrors" priority="100" dxfId="0">
      <formula>ISERROR(H1)</formula>
    </cfRule>
  </conditionalFormatting>
  <conditionalFormatting sqref="H60">
    <cfRule type="containsErrors" priority="99" dxfId="0">
      <formula>ISERROR(H60)</formula>
    </cfRule>
  </conditionalFormatting>
  <conditionalFormatting sqref="H57">
    <cfRule type="containsErrors" priority="98" dxfId="0">
      <formula>ISERROR(H57)</formula>
    </cfRule>
  </conditionalFormatting>
  <conditionalFormatting sqref="H59">
    <cfRule type="containsErrors" priority="97" dxfId="0">
      <formula>ISERROR(H59)</formula>
    </cfRule>
  </conditionalFormatting>
  <conditionalFormatting sqref="H62">
    <cfRule type="containsErrors" priority="96" dxfId="0">
      <formula>ISERROR(H62)</formula>
    </cfRule>
  </conditionalFormatting>
  <conditionalFormatting sqref="H64">
    <cfRule type="containsErrors" priority="95" dxfId="0">
      <formula>ISERROR(H64)</formula>
    </cfRule>
  </conditionalFormatting>
  <conditionalFormatting sqref="H63">
    <cfRule type="containsErrors" priority="94" dxfId="0">
      <formula>ISERROR(H63)</formula>
    </cfRule>
  </conditionalFormatting>
  <conditionalFormatting sqref="H58">
    <cfRule type="containsErrors" priority="93" dxfId="0">
      <formula>ISERROR(H58)</formula>
    </cfRule>
  </conditionalFormatting>
  <conditionalFormatting sqref="H56">
    <cfRule type="containsErrors" priority="92" dxfId="0">
      <formula>ISERROR(H56)</formula>
    </cfRule>
  </conditionalFormatting>
  <conditionalFormatting sqref="H76">
    <cfRule type="containsErrors" priority="91" dxfId="0">
      <formula>ISERROR(H76)</formula>
    </cfRule>
  </conditionalFormatting>
  <conditionalFormatting sqref="H77">
    <cfRule type="containsErrors" priority="90" dxfId="0">
      <formula>ISERROR(H77)</formula>
    </cfRule>
  </conditionalFormatting>
  <conditionalFormatting sqref="H78">
    <cfRule type="containsErrors" priority="89" dxfId="0">
      <formula>ISERROR(H78)</formula>
    </cfRule>
  </conditionalFormatting>
  <conditionalFormatting sqref="H70">
    <cfRule type="containsErrors" priority="88" dxfId="0">
      <formula>ISERROR(H70)</formula>
    </cfRule>
  </conditionalFormatting>
  <conditionalFormatting sqref="H74">
    <cfRule type="containsErrors" priority="87" dxfId="0">
      <formula>ISERROR(H74)</formula>
    </cfRule>
  </conditionalFormatting>
  <conditionalFormatting sqref="H75">
    <cfRule type="containsErrors" priority="86" dxfId="0">
      <formula>ISERROR(H75)</formula>
    </cfRule>
  </conditionalFormatting>
  <conditionalFormatting sqref="H212:H218">
    <cfRule type="containsErrors" priority="85" dxfId="0">
      <formula>ISERROR(H212)</formula>
    </cfRule>
  </conditionalFormatting>
  <conditionalFormatting sqref="H205:H211">
    <cfRule type="containsErrors" priority="84" dxfId="0">
      <formula>ISERROR(H205)</formula>
    </cfRule>
  </conditionalFormatting>
  <conditionalFormatting sqref="H105:H108 H110:H111">
    <cfRule type="containsErrors" priority="83" dxfId="0">
      <formula>ISERROR(H105)</formula>
    </cfRule>
  </conditionalFormatting>
  <conditionalFormatting sqref="H109">
    <cfRule type="containsErrors" priority="82" dxfId="0">
      <formula>ISERROR(H109)</formula>
    </cfRule>
  </conditionalFormatting>
  <conditionalFormatting sqref="H135:H138 H141:H142">
    <cfRule type="containsErrors" priority="81" dxfId="0">
      <formula>ISERROR(H135)</formula>
    </cfRule>
  </conditionalFormatting>
  <conditionalFormatting sqref="H140">
    <cfRule type="containsErrors" priority="80" dxfId="0">
      <formula>ISERROR(H140)</formula>
    </cfRule>
  </conditionalFormatting>
  <conditionalFormatting sqref="H139">
    <cfRule type="containsErrors" priority="79" dxfId="0">
      <formula>ISERROR(H139)</formula>
    </cfRule>
  </conditionalFormatting>
  <conditionalFormatting sqref="H12:H15">
    <cfRule type="containsErrors" priority="78" dxfId="0">
      <formula>ISERROR(H12)</formula>
    </cfRule>
  </conditionalFormatting>
  <conditionalFormatting sqref="H16">
    <cfRule type="containsErrors" priority="77" dxfId="0">
      <formula>ISERROR(H16)</formula>
    </cfRule>
  </conditionalFormatting>
  <conditionalFormatting sqref="H29">
    <cfRule type="containsErrors" priority="76" dxfId="0">
      <formula>ISERROR(H29)</formula>
    </cfRule>
  </conditionalFormatting>
  <conditionalFormatting sqref="H24:H27">
    <cfRule type="containsErrors" priority="75" dxfId="0">
      <formula>ISERROR(H24)</formula>
    </cfRule>
  </conditionalFormatting>
  <conditionalFormatting sqref="H28">
    <cfRule type="containsErrors" priority="74" dxfId="0">
      <formula>ISERROR(H28)</formula>
    </cfRule>
  </conditionalFormatting>
  <conditionalFormatting sqref="H23">
    <cfRule type="containsErrors" priority="73" dxfId="0">
      <formula>ISERROR(H23)</formula>
    </cfRule>
  </conditionalFormatting>
  <conditionalFormatting sqref="H18:H21">
    <cfRule type="containsErrors" priority="72" dxfId="0">
      <formula>ISERROR(H18)</formula>
    </cfRule>
  </conditionalFormatting>
  <conditionalFormatting sqref="H22">
    <cfRule type="containsErrors" priority="71" dxfId="0">
      <formula>ISERROR(H22)</formula>
    </cfRule>
  </conditionalFormatting>
  <conditionalFormatting sqref="H227">
    <cfRule type="containsErrors" priority="70" dxfId="0">
      <formula>ISERROR(H227)</formula>
    </cfRule>
  </conditionalFormatting>
  <conditionalFormatting sqref="H219:H222">
    <cfRule type="containsErrors" priority="69" dxfId="0">
      <formula>ISERROR(H219)</formula>
    </cfRule>
  </conditionalFormatting>
  <conditionalFormatting sqref="H226">
    <cfRule type="containsErrors" priority="68" dxfId="0">
      <formula>ISERROR(H226)</formula>
    </cfRule>
  </conditionalFormatting>
  <conditionalFormatting sqref="H225">
    <cfRule type="containsErrors" priority="67" dxfId="0">
      <formula>ISERROR(H225)</formula>
    </cfRule>
  </conditionalFormatting>
  <conditionalFormatting sqref="H223">
    <cfRule type="containsErrors" priority="66" dxfId="0">
      <formula>ISERROR(H223)</formula>
    </cfRule>
  </conditionalFormatting>
  <conditionalFormatting sqref="H224">
    <cfRule type="containsErrors" priority="65" dxfId="0">
      <formula>ISERROR(H224)</formula>
    </cfRule>
  </conditionalFormatting>
  <conditionalFormatting sqref="H40:H43">
    <cfRule type="containsErrors" priority="64" dxfId="0">
      <formula>ISERROR(H40)</formula>
    </cfRule>
  </conditionalFormatting>
  <conditionalFormatting sqref="H45">
    <cfRule type="containsErrors" priority="63" dxfId="0">
      <formula>ISERROR(H45)</formula>
    </cfRule>
  </conditionalFormatting>
  <conditionalFormatting sqref="H265:H268 H272 H274">
    <cfRule type="containsErrors" priority="62" dxfId="0">
      <formula>ISERROR(H265)</formula>
    </cfRule>
  </conditionalFormatting>
  <conditionalFormatting sqref="H269">
    <cfRule type="containsErrors" priority="61" dxfId="0">
      <formula>ISERROR(H269)</formula>
    </cfRule>
  </conditionalFormatting>
  <conditionalFormatting sqref="H273">
    <cfRule type="containsErrors" priority="60" dxfId="0">
      <formula>ISERROR(H273)</formula>
    </cfRule>
  </conditionalFormatting>
  <conditionalFormatting sqref="H271">
    <cfRule type="containsErrors" priority="59" dxfId="0">
      <formula>ISERROR(H271)</formula>
    </cfRule>
  </conditionalFormatting>
  <conditionalFormatting sqref="H270">
    <cfRule type="containsErrors" priority="58" dxfId="0">
      <formula>ISERROR(H270)</formula>
    </cfRule>
  </conditionalFormatting>
  <conditionalFormatting sqref="H306:H309 H311">
    <cfRule type="containsErrors" priority="57" dxfId="0">
      <formula>ISERROR(H306)</formula>
    </cfRule>
  </conditionalFormatting>
  <conditionalFormatting sqref="H310">
    <cfRule type="containsErrors" priority="56" dxfId="0">
      <formula>ISERROR(H310)</formula>
    </cfRule>
  </conditionalFormatting>
  <conditionalFormatting sqref="H312:H315 H317">
    <cfRule type="containsErrors" priority="55" dxfId="0">
      <formula>ISERROR(H312)</formula>
    </cfRule>
  </conditionalFormatting>
  <conditionalFormatting sqref="H316">
    <cfRule type="containsErrors" priority="54" dxfId="0">
      <formula>ISERROR(H316)</formula>
    </cfRule>
  </conditionalFormatting>
  <conditionalFormatting sqref="H157:H163">
    <cfRule type="containsErrors" priority="53" dxfId="0">
      <formula>ISERROR(H157)</formula>
    </cfRule>
  </conditionalFormatting>
  <conditionalFormatting sqref="H143:H149">
    <cfRule type="containsErrors" priority="52" dxfId="0">
      <formula>ISERROR(H143)</formula>
    </cfRule>
  </conditionalFormatting>
  <conditionalFormatting sqref="H150:H156">
    <cfRule type="containsErrors" priority="51" dxfId="0">
      <formula>ISERROR(H150)</formula>
    </cfRule>
  </conditionalFormatting>
  <conditionalFormatting sqref="H133:H134">
    <cfRule type="containsErrors" priority="50" dxfId="0">
      <formula>ISERROR(H133)</formula>
    </cfRule>
  </conditionalFormatting>
  <conditionalFormatting sqref="H131">
    <cfRule type="containsErrors" priority="49" dxfId="0">
      <formula>ISERROR(H131)</formula>
    </cfRule>
  </conditionalFormatting>
  <conditionalFormatting sqref="H129">
    <cfRule type="containsErrors" priority="48" dxfId="0">
      <formula>ISERROR(H129)</formula>
    </cfRule>
  </conditionalFormatting>
  <conditionalFormatting sqref="H132">
    <cfRule type="containsErrors" priority="47" dxfId="0">
      <formula>ISERROR(H132)</formula>
    </cfRule>
  </conditionalFormatting>
  <conditionalFormatting sqref="H179">
    <cfRule type="containsErrors" priority="46" dxfId="0">
      <formula>ISERROR(H179)</formula>
    </cfRule>
  </conditionalFormatting>
  <conditionalFormatting sqref="H171:H174">
    <cfRule type="containsErrors" priority="45" dxfId="0">
      <formula>ISERROR(H171)</formula>
    </cfRule>
  </conditionalFormatting>
  <conditionalFormatting sqref="H178">
    <cfRule type="containsErrors" priority="44" dxfId="0">
      <formula>ISERROR(H178)</formula>
    </cfRule>
  </conditionalFormatting>
  <conditionalFormatting sqref="H177">
    <cfRule type="containsErrors" priority="43" dxfId="0">
      <formula>ISERROR(H177)</formula>
    </cfRule>
  </conditionalFormatting>
  <conditionalFormatting sqref="H176">
    <cfRule type="containsErrors" priority="42" dxfId="0">
      <formula>ISERROR(H176)</formula>
    </cfRule>
  </conditionalFormatting>
  <conditionalFormatting sqref="H175">
    <cfRule type="containsErrors" priority="41" dxfId="0">
      <formula>ISERROR(H175)</formula>
    </cfRule>
  </conditionalFormatting>
  <conditionalFormatting sqref="H196:H199 H201 H204">
    <cfRule type="containsErrors" priority="40" dxfId="0">
      <formula>ISERROR(H196)</formula>
    </cfRule>
  </conditionalFormatting>
  <conditionalFormatting sqref="H202">
    <cfRule type="containsErrors" priority="39" dxfId="0">
      <formula>ISERROR(H202)</formula>
    </cfRule>
  </conditionalFormatting>
  <conditionalFormatting sqref="H203">
    <cfRule type="containsErrors" priority="38" dxfId="0">
      <formula>ISERROR(H203)</formula>
    </cfRule>
  </conditionalFormatting>
  <conditionalFormatting sqref="H200">
    <cfRule type="containsErrors" priority="37" dxfId="0">
      <formula>ISERROR(H200)</formula>
    </cfRule>
  </conditionalFormatting>
  <conditionalFormatting sqref="H294">
    <cfRule type="containsErrors" priority="36" dxfId="0">
      <formula>ISERROR(H294)</formula>
    </cfRule>
  </conditionalFormatting>
  <conditionalFormatting sqref="H285:H288">
    <cfRule type="containsErrors" priority="35" dxfId="0">
      <formula>ISERROR(H285)</formula>
    </cfRule>
  </conditionalFormatting>
  <conditionalFormatting sqref="H291">
    <cfRule type="containsErrors" priority="34" dxfId="0">
      <formula>ISERROR(H291)</formula>
    </cfRule>
  </conditionalFormatting>
  <conditionalFormatting sqref="H293">
    <cfRule type="containsErrors" priority="33" dxfId="0">
      <formula>ISERROR(H293)</formula>
    </cfRule>
  </conditionalFormatting>
  <conditionalFormatting sqref="H290">
    <cfRule type="containsErrors" priority="32" dxfId="0">
      <formula>ISERROR(H290)</formula>
    </cfRule>
  </conditionalFormatting>
  <conditionalFormatting sqref="H289">
    <cfRule type="containsErrors" priority="31" dxfId="0">
      <formula>ISERROR(H289)</formula>
    </cfRule>
  </conditionalFormatting>
  <conditionalFormatting sqref="H292">
    <cfRule type="containsErrors" priority="30" dxfId="0">
      <formula>ISERROR(H292)</formula>
    </cfRule>
  </conditionalFormatting>
  <conditionalFormatting sqref="H284">
    <cfRule type="containsErrors" priority="29" dxfId="0">
      <formula>ISERROR(H284)</formula>
    </cfRule>
  </conditionalFormatting>
  <conditionalFormatting sqref="H275:H278">
    <cfRule type="containsErrors" priority="28" dxfId="0">
      <formula>ISERROR(H275)</formula>
    </cfRule>
  </conditionalFormatting>
  <conditionalFormatting sqref="H281">
    <cfRule type="containsErrors" priority="27" dxfId="0">
      <formula>ISERROR(H281)</formula>
    </cfRule>
  </conditionalFormatting>
  <conditionalFormatting sqref="H283">
    <cfRule type="containsErrors" priority="26" dxfId="0">
      <formula>ISERROR(H283)</formula>
    </cfRule>
  </conditionalFormatting>
  <conditionalFormatting sqref="H280">
    <cfRule type="containsErrors" priority="25" dxfId="0">
      <formula>ISERROR(H280)</formula>
    </cfRule>
  </conditionalFormatting>
  <conditionalFormatting sqref="H279">
    <cfRule type="containsErrors" priority="24" dxfId="0">
      <formula>ISERROR(H279)</formula>
    </cfRule>
  </conditionalFormatting>
  <conditionalFormatting sqref="H282">
    <cfRule type="containsErrors" priority="23" dxfId="0">
      <formula>ISERROR(H282)</formula>
    </cfRule>
  </conditionalFormatting>
  <conditionalFormatting sqref="H305">
    <cfRule type="containsErrors" priority="22" dxfId="0">
      <formula>ISERROR(H305)</formula>
    </cfRule>
  </conditionalFormatting>
  <conditionalFormatting sqref="H295:H298">
    <cfRule type="containsErrors" priority="21" dxfId="0">
      <formula>ISERROR(H295)</formula>
    </cfRule>
  </conditionalFormatting>
  <conditionalFormatting sqref="H301">
    <cfRule type="containsErrors" priority="20" dxfId="0">
      <formula>ISERROR(H301)</formula>
    </cfRule>
  </conditionalFormatting>
  <conditionalFormatting sqref="H304">
    <cfRule type="containsErrors" priority="19" dxfId="0">
      <formula>ISERROR(H304)</formula>
    </cfRule>
  </conditionalFormatting>
  <conditionalFormatting sqref="H300">
    <cfRule type="containsErrors" priority="18" dxfId="0">
      <formula>ISERROR(H300)</formula>
    </cfRule>
  </conditionalFormatting>
  <conditionalFormatting sqref="H299">
    <cfRule type="containsErrors" priority="17" dxfId="0">
      <formula>ISERROR(H299)</formula>
    </cfRule>
  </conditionalFormatting>
  <conditionalFormatting sqref="H302">
    <cfRule type="containsErrors" priority="16" dxfId="0">
      <formula>ISERROR(H302)</formula>
    </cfRule>
  </conditionalFormatting>
  <conditionalFormatting sqref="H303">
    <cfRule type="containsErrors" priority="15" dxfId="0">
      <formula>ISERROR(H303)</formula>
    </cfRule>
  </conditionalFormatting>
  <conditionalFormatting sqref="H79">
    <cfRule type="containsErrors" priority="14" dxfId="0">
      <formula>ISERROR(H79)</formula>
    </cfRule>
  </conditionalFormatting>
  <conditionalFormatting sqref="H85">
    <cfRule type="containsErrors" priority="13" dxfId="0">
      <formula>ISERROR(H85)</formula>
    </cfRule>
  </conditionalFormatting>
  <conditionalFormatting sqref="H89">
    <cfRule type="containsErrors" priority="12" dxfId="0">
      <formula>ISERROR(H89)</formula>
    </cfRule>
  </conditionalFormatting>
  <conditionalFormatting sqref="H96:H98">
    <cfRule type="containsErrors" priority="11" dxfId="0">
      <formula>ISERROR(H96)</formula>
    </cfRule>
  </conditionalFormatting>
  <conditionalFormatting sqref="H95">
    <cfRule type="containsErrors" priority="10" dxfId="0">
      <formula>ISERROR(H95)</formula>
    </cfRule>
  </conditionalFormatting>
  <conditionalFormatting sqref="H228:H231 H233 H236">
    <cfRule type="containsErrors" priority="9" dxfId="0">
      <formula>ISERROR(H228)</formula>
    </cfRule>
  </conditionalFormatting>
  <conditionalFormatting sqref="H234">
    <cfRule type="containsErrors" priority="8" dxfId="0">
      <formula>ISERROR(H234)</formula>
    </cfRule>
  </conditionalFormatting>
  <conditionalFormatting sqref="H235">
    <cfRule type="containsErrors" priority="7" dxfId="0">
      <formula>ISERROR(H235)</formula>
    </cfRule>
  </conditionalFormatting>
  <conditionalFormatting sqref="H232">
    <cfRule type="containsErrors" priority="6" dxfId="0">
      <formula>ISERROR(H232)</formula>
    </cfRule>
  </conditionalFormatting>
  <conditionalFormatting sqref="H101">
    <cfRule type="containsErrors" priority="5" dxfId="0">
      <formula>ISERROR(H101)</formula>
    </cfRule>
  </conditionalFormatting>
  <conditionalFormatting sqref="H102">
    <cfRule type="containsErrors" priority="4" dxfId="0">
      <formula>ISERROR(H102)</formula>
    </cfRule>
  </conditionalFormatting>
  <conditionalFormatting sqref="H103">
    <cfRule type="containsErrors" priority="3" dxfId="0">
      <formula>ISERROR(H103)</formula>
    </cfRule>
  </conditionalFormatting>
  <conditionalFormatting sqref="H100">
    <cfRule type="containsErrors" priority="2" dxfId="0">
      <formula>ISERROR(H100)</formula>
    </cfRule>
  </conditionalFormatting>
  <conditionalFormatting sqref="H99">
    <cfRule type="containsErrors" priority="1" dxfId="0">
      <formula>ISERROR(H99)</formula>
    </cfRule>
  </conditionalFormatting>
  <dataValidations count="1">
    <dataValidation type="list" allowBlank="1" showInputMessage="1" showErrorMessage="1" sqref="B168:B169 B262:B263 B34:B38 B9:B10 B299:B304 B70:B79 B248:B249 B241:B242 B255:B256 B51:B64 B216:B217 B209:B210 B109:B110 B139:B141 B16 B28 B95:B103 B223:B226 B44:B45 B269:B273 B310 B316 B161:B162 B147:B148 B154:B155 B22 B175:B178 B116:B119 B200:B203 B85:B89 B232:B235 B125:B133 B192:B194 B184:B186 B279:B283 B289:B293">
      <formula1>"C,I"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B17" sqref="B17"/>
    </sheetView>
  </sheetViews>
  <sheetFormatPr defaultColWidth="9.140625" defaultRowHeight="12.75"/>
  <cols>
    <col min="2" max="2" width="86.140625" style="0" customWidth="1"/>
  </cols>
  <sheetData>
    <row r="1" spans="1:6" ht="15">
      <c r="A1" s="534"/>
      <c r="B1" s="535" t="s">
        <v>912</v>
      </c>
      <c r="C1" s="822" t="s">
        <v>668</v>
      </c>
      <c r="D1" s="822"/>
      <c r="E1" s="822"/>
      <c r="F1" s="536" t="s">
        <v>913</v>
      </c>
    </row>
    <row r="2" spans="1:6" ht="15">
      <c r="A2" s="537"/>
      <c r="B2" s="538" t="s">
        <v>914</v>
      </c>
      <c r="C2" s="823"/>
      <c r="D2" s="823"/>
      <c r="E2" s="823"/>
      <c r="F2" s="539"/>
    </row>
    <row r="3" spans="1:6" ht="15">
      <c r="A3" s="537"/>
      <c r="B3" s="540" t="s">
        <v>914</v>
      </c>
      <c r="C3" s="824" t="s">
        <v>915</v>
      </c>
      <c r="D3" s="825"/>
      <c r="E3" s="825"/>
      <c r="F3" s="826"/>
    </row>
    <row r="4" spans="1:6" ht="15">
      <c r="A4" s="827" t="s">
        <v>916</v>
      </c>
      <c r="B4" s="828"/>
      <c r="C4" s="829" t="s">
        <v>917</v>
      </c>
      <c r="D4" s="830"/>
      <c r="E4" s="830"/>
      <c r="F4" s="831"/>
    </row>
    <row r="5" spans="1:6" ht="15">
      <c r="A5" s="832" t="s">
        <v>0</v>
      </c>
      <c r="B5" s="833" t="s">
        <v>37</v>
      </c>
      <c r="C5" s="834" t="s">
        <v>1</v>
      </c>
      <c r="D5" s="834" t="s">
        <v>401</v>
      </c>
      <c r="E5" s="834" t="s">
        <v>918</v>
      </c>
      <c r="F5" s="834"/>
    </row>
    <row r="6" spans="1:6" ht="15">
      <c r="A6" s="832"/>
      <c r="B6" s="833"/>
      <c r="C6" s="832"/>
      <c r="D6" s="832"/>
      <c r="E6" s="541" t="s">
        <v>403</v>
      </c>
      <c r="F6" s="542" t="s">
        <v>402</v>
      </c>
    </row>
    <row r="7" spans="1:6" ht="15">
      <c r="A7" s="543" t="s">
        <v>2</v>
      </c>
      <c r="B7" s="544" t="s">
        <v>911</v>
      </c>
      <c r="C7" s="545"/>
      <c r="D7" s="546"/>
      <c r="E7" s="545"/>
      <c r="F7" s="545"/>
    </row>
    <row r="8" spans="1:6" ht="28.5">
      <c r="A8" s="547" t="s">
        <v>3</v>
      </c>
      <c r="B8" s="548" t="s">
        <v>919</v>
      </c>
      <c r="C8" s="549">
        <v>65</v>
      </c>
      <c r="D8" s="550" t="s">
        <v>26</v>
      </c>
      <c r="E8" s="551">
        <f>CPU!E1130</f>
        <v>3.9951499999999998</v>
      </c>
      <c r="F8" s="552">
        <f aca="true" t="shared" si="0" ref="F8:F14">IF(C8=0,"",ROUND(C8*E8,2))</f>
        <v>259.68</v>
      </c>
    </row>
    <row r="9" spans="1:6" ht="14.25">
      <c r="A9" s="547" t="s">
        <v>5</v>
      </c>
      <c r="B9" s="553" t="s">
        <v>920</v>
      </c>
      <c r="C9" s="549">
        <v>6</v>
      </c>
      <c r="D9" s="554" t="s">
        <v>38</v>
      </c>
      <c r="E9" s="551">
        <f>CPU!E1141</f>
        <v>40.01</v>
      </c>
      <c r="F9" s="552">
        <f t="shared" si="0"/>
        <v>240.06</v>
      </c>
    </row>
    <row r="10" spans="1:6" ht="14.25">
      <c r="A10" s="547"/>
      <c r="B10" s="553" t="s">
        <v>958</v>
      </c>
      <c r="C10" s="549">
        <v>30</v>
      </c>
      <c r="D10" s="554" t="s">
        <v>401</v>
      </c>
      <c r="E10" s="551">
        <f>CPU!E1152</f>
        <v>10.26</v>
      </c>
      <c r="F10" s="552">
        <f t="shared" si="0"/>
        <v>307.8</v>
      </c>
    </row>
    <row r="11" spans="1:6" ht="28.5">
      <c r="A11" s="547" t="s">
        <v>39</v>
      </c>
      <c r="B11" s="548" t="s">
        <v>922</v>
      </c>
      <c r="C11" s="549">
        <v>150</v>
      </c>
      <c r="D11" s="550" t="s">
        <v>26</v>
      </c>
      <c r="E11" s="551">
        <f>CPU!E1163</f>
        <v>18.776</v>
      </c>
      <c r="F11" s="552">
        <f t="shared" si="0"/>
        <v>2816.4</v>
      </c>
    </row>
    <row r="12" spans="1:6" ht="28.5">
      <c r="A12" s="547" t="s">
        <v>921</v>
      </c>
      <c r="B12" s="548" t="s">
        <v>924</v>
      </c>
      <c r="C12" s="551">
        <v>70</v>
      </c>
      <c r="D12" s="554" t="s">
        <v>26</v>
      </c>
      <c r="E12" s="555">
        <f>CPU!E1174</f>
        <v>28.934000000000005</v>
      </c>
      <c r="F12" s="552">
        <f t="shared" si="0"/>
        <v>2025.38</v>
      </c>
    </row>
    <row r="13" spans="1:6" ht="14.25">
      <c r="A13" s="547" t="s">
        <v>923</v>
      </c>
      <c r="B13" s="553" t="s">
        <v>926</v>
      </c>
      <c r="C13" s="551">
        <v>1</v>
      </c>
      <c r="D13" s="554" t="s">
        <v>38</v>
      </c>
      <c r="E13" s="555">
        <f>CPU!E1191</f>
        <v>615.89</v>
      </c>
      <c r="F13" s="552">
        <f t="shared" si="0"/>
        <v>615.89</v>
      </c>
    </row>
    <row r="14" spans="1:6" ht="28.5">
      <c r="A14" s="547" t="s">
        <v>925</v>
      </c>
      <c r="B14" s="553" t="s">
        <v>927</v>
      </c>
      <c r="C14" s="551">
        <v>2</v>
      </c>
      <c r="D14" s="554" t="s">
        <v>38</v>
      </c>
      <c r="E14" s="555">
        <f>CPU!E1206</f>
        <v>152.42</v>
      </c>
      <c r="F14" s="552">
        <f t="shared" si="0"/>
        <v>304.84</v>
      </c>
    </row>
    <row r="15" spans="1:6" ht="15">
      <c r="A15" s="819" t="s">
        <v>928</v>
      </c>
      <c r="B15" s="820"/>
      <c r="C15" s="820"/>
      <c r="D15" s="820"/>
      <c r="E15" s="821"/>
      <c r="F15" s="556">
        <f>SUM(F8:F14)</f>
        <v>6570.05</v>
      </c>
    </row>
  </sheetData>
  <mergeCells count="10">
    <mergeCell ref="A15:E15"/>
    <mergeCell ref="C1:E2"/>
    <mergeCell ref="C3:F3"/>
    <mergeCell ref="A4:B4"/>
    <mergeCell ref="C4:F4"/>
    <mergeCell ref="A5:A6"/>
    <mergeCell ref="B5:B6"/>
    <mergeCell ref="C5:C6"/>
    <mergeCell ref="D5:D6"/>
    <mergeCell ref="E5:F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 topLeftCell="A1">
      <selection activeCell="L1" sqref="L1"/>
    </sheetView>
  </sheetViews>
  <sheetFormatPr defaultColWidth="9.140625" defaultRowHeight="12.75"/>
  <cols>
    <col min="2" max="2" width="53.421875" style="0" customWidth="1"/>
    <col min="3" max="3" width="15.57421875" style="0" customWidth="1"/>
    <col min="4" max="4" width="12.421875" style="0" customWidth="1"/>
    <col min="6" max="6" width="10.57421875" style="0" customWidth="1"/>
    <col min="8" max="8" width="10.421875" style="0" customWidth="1"/>
    <col min="10" max="10" width="10.57421875" style="0" customWidth="1"/>
    <col min="12" max="12" width="12.28125" style="0" customWidth="1"/>
  </cols>
  <sheetData>
    <row r="1" spans="1:12" ht="15.75">
      <c r="A1" s="442" t="s">
        <v>751</v>
      </c>
      <c r="B1" s="636" t="s">
        <v>778</v>
      </c>
      <c r="C1" s="637"/>
      <c r="D1" s="637"/>
      <c r="E1" s="637"/>
      <c r="F1" s="637"/>
      <c r="G1" s="637"/>
      <c r="H1" s="637"/>
      <c r="I1" s="637"/>
      <c r="J1" s="638"/>
      <c r="K1" s="443" t="s">
        <v>752</v>
      </c>
      <c r="L1" s="444">
        <v>42857</v>
      </c>
    </row>
    <row r="2" spans="1:12" ht="15.75">
      <c r="A2" s="445"/>
      <c r="B2" s="639" t="s">
        <v>753</v>
      </c>
      <c r="C2" s="639"/>
      <c r="D2" s="639"/>
      <c r="E2" s="639"/>
      <c r="F2" s="639"/>
      <c r="G2" s="639"/>
      <c r="H2" s="639"/>
      <c r="I2" s="639"/>
      <c r="J2" s="639"/>
      <c r="K2" s="446"/>
      <c r="L2" s="447"/>
    </row>
    <row r="3" spans="1:12" ht="15">
      <c r="A3" s="640" t="s">
        <v>0</v>
      </c>
      <c r="B3" s="642" t="s">
        <v>544</v>
      </c>
      <c r="C3" s="642" t="s">
        <v>754</v>
      </c>
      <c r="D3" s="644" t="s">
        <v>80</v>
      </c>
      <c r="E3" s="630" t="s">
        <v>755</v>
      </c>
      <c r="F3" s="630"/>
      <c r="G3" s="630" t="s">
        <v>756</v>
      </c>
      <c r="H3" s="630"/>
      <c r="I3" s="630" t="s">
        <v>757</v>
      </c>
      <c r="J3" s="630"/>
      <c r="K3" s="630" t="s">
        <v>758</v>
      </c>
      <c r="L3" s="631"/>
    </row>
    <row r="4" spans="1:12" ht="15">
      <c r="A4" s="641"/>
      <c r="B4" s="643"/>
      <c r="C4" s="643"/>
      <c r="D4" s="642"/>
      <c r="E4" s="448" t="s">
        <v>80</v>
      </c>
      <c r="F4" s="448" t="s">
        <v>754</v>
      </c>
      <c r="G4" s="448" t="s">
        <v>80</v>
      </c>
      <c r="H4" s="448" t="s">
        <v>754</v>
      </c>
      <c r="I4" s="448" t="s">
        <v>80</v>
      </c>
      <c r="J4" s="448" t="s">
        <v>754</v>
      </c>
      <c r="K4" s="448" t="s">
        <v>80</v>
      </c>
      <c r="L4" s="449" t="s">
        <v>754</v>
      </c>
    </row>
    <row r="5" spans="1:12" ht="15">
      <c r="A5" s="450"/>
      <c r="B5" s="477"/>
      <c r="C5" s="477"/>
      <c r="D5" s="478"/>
      <c r="E5" s="479"/>
      <c r="F5" s="479"/>
      <c r="G5" s="479"/>
      <c r="H5" s="479"/>
      <c r="I5" s="479"/>
      <c r="J5" s="479"/>
      <c r="K5" s="479"/>
      <c r="L5" s="480"/>
    </row>
    <row r="6" spans="1:12" ht="14.25">
      <c r="A6" s="326">
        <v>1</v>
      </c>
      <c r="B6" s="327" t="s">
        <v>674</v>
      </c>
      <c r="C6" s="625">
        <f>ORÇAMENTO!I4</f>
        <v>18289.98</v>
      </c>
      <c r="D6" s="453">
        <f>C6/C34</f>
        <v>0.03368846869690961</v>
      </c>
      <c r="E6" s="454">
        <v>0.8</v>
      </c>
      <c r="F6" s="455">
        <f>E6*$C6</f>
        <v>14631.984</v>
      </c>
      <c r="G6" s="454">
        <v>0.2</v>
      </c>
      <c r="H6" s="455">
        <f>G6*$C6</f>
        <v>3657.996</v>
      </c>
      <c r="I6" s="454"/>
      <c r="J6" s="455">
        <f>I6*$C6</f>
        <v>0</v>
      </c>
      <c r="K6" s="454"/>
      <c r="L6" s="456">
        <f>K6*$C6</f>
        <v>0</v>
      </c>
    </row>
    <row r="7" spans="1:12" ht="12.75">
      <c r="A7" s="457"/>
      <c r="B7" s="458"/>
      <c r="C7" s="452"/>
      <c r="D7" s="453"/>
      <c r="E7" s="454"/>
      <c r="F7" s="455"/>
      <c r="G7" s="454"/>
      <c r="H7" s="455"/>
      <c r="I7" s="454"/>
      <c r="J7" s="455"/>
      <c r="K7" s="454"/>
      <c r="L7" s="456"/>
    </row>
    <row r="8" spans="1:12" ht="12.75">
      <c r="A8" s="459" t="s">
        <v>767</v>
      </c>
      <c r="B8" s="2" t="s">
        <v>408</v>
      </c>
      <c r="C8" s="452">
        <f>ORÇAMENTO!I8</f>
        <v>37775.62047604</v>
      </c>
      <c r="D8" s="453">
        <f>C8/$C$33</f>
        <v>0.06957923452696019</v>
      </c>
      <c r="E8" s="454">
        <v>1</v>
      </c>
      <c r="F8" s="455">
        <f aca="true" t="shared" si="0" ref="F8:F26">E8*$C8</f>
        <v>37775.62047604</v>
      </c>
      <c r="G8" s="454"/>
      <c r="H8" s="455"/>
      <c r="I8" s="454"/>
      <c r="J8" s="455"/>
      <c r="K8" s="454"/>
      <c r="L8" s="456"/>
    </row>
    <row r="9" spans="1:12" ht="12.75">
      <c r="A9" s="459"/>
      <c r="B9" s="451"/>
      <c r="C9" s="452"/>
      <c r="D9" s="453"/>
      <c r="E9" s="454"/>
      <c r="F9" s="455"/>
      <c r="G9" s="454"/>
      <c r="H9" s="455"/>
      <c r="I9" s="454"/>
      <c r="J9" s="455"/>
      <c r="K9" s="454"/>
      <c r="L9" s="456"/>
    </row>
    <row r="10" spans="1:12" ht="12.75">
      <c r="A10" s="459" t="s">
        <v>759</v>
      </c>
      <c r="B10" s="2" t="s">
        <v>44</v>
      </c>
      <c r="C10" s="452">
        <f>ORÇAMENTO!I19</f>
        <v>34185.98988036</v>
      </c>
      <c r="D10" s="453">
        <f aca="true" t="shared" si="1" ref="D10:D26">C10/$C$33</f>
        <v>0.0629674636034253</v>
      </c>
      <c r="E10" s="454">
        <v>1</v>
      </c>
      <c r="F10" s="455">
        <f t="shared" si="0"/>
        <v>34185.98988036</v>
      </c>
      <c r="G10" s="454"/>
      <c r="H10" s="455"/>
      <c r="I10" s="454"/>
      <c r="J10" s="455"/>
      <c r="K10" s="454"/>
      <c r="L10" s="456"/>
    </row>
    <row r="11" spans="1:12" ht="12.75">
      <c r="A11" s="459"/>
      <c r="B11" s="451"/>
      <c r="C11" s="452"/>
      <c r="D11" s="453"/>
      <c r="E11" s="454"/>
      <c r="F11" s="455"/>
      <c r="G11" s="454"/>
      <c r="H11" s="455"/>
      <c r="I11" s="454"/>
      <c r="J11" s="455"/>
      <c r="K11" s="454"/>
      <c r="L11" s="456"/>
    </row>
    <row r="12" spans="1:12" ht="12.75">
      <c r="A12" s="459" t="s">
        <v>760</v>
      </c>
      <c r="B12" s="2" t="s">
        <v>49</v>
      </c>
      <c r="C12" s="452">
        <f>ORÇAMENTO!I24</f>
        <v>36750.23968884898</v>
      </c>
      <c r="D12" s="453">
        <f t="shared" si="1"/>
        <v>0.06769057699142997</v>
      </c>
      <c r="E12" s="454">
        <v>1</v>
      </c>
      <c r="F12" s="455">
        <f t="shared" si="0"/>
        <v>36750.23968884898</v>
      </c>
      <c r="G12" s="454"/>
      <c r="H12" s="455"/>
      <c r="I12" s="454"/>
      <c r="J12" s="455"/>
      <c r="K12" s="454"/>
      <c r="L12" s="456"/>
    </row>
    <row r="13" spans="1:12" ht="12.75">
      <c r="A13" s="459"/>
      <c r="B13" s="451"/>
      <c r="C13" s="452"/>
      <c r="D13" s="453"/>
      <c r="E13" s="454"/>
      <c r="F13" s="455"/>
      <c r="G13" s="454"/>
      <c r="H13" s="455"/>
      <c r="I13" s="454"/>
      <c r="J13" s="455"/>
      <c r="K13" s="454"/>
      <c r="L13" s="456"/>
    </row>
    <row r="14" spans="1:12" ht="12.75">
      <c r="A14" s="459" t="s">
        <v>761</v>
      </c>
      <c r="B14" s="2" t="s">
        <v>686</v>
      </c>
      <c r="C14" s="452">
        <f>ORÇAMENTO!I28</f>
        <v>72982.85479600001</v>
      </c>
      <c r="D14" s="453">
        <f t="shared" si="1"/>
        <v>0.1344277368923392</v>
      </c>
      <c r="E14" s="454"/>
      <c r="F14" s="455"/>
      <c r="G14" s="454">
        <v>0.3</v>
      </c>
      <c r="H14" s="455">
        <f>G14*C14</f>
        <v>21894.856438800005</v>
      </c>
      <c r="I14" s="454">
        <v>0.35</v>
      </c>
      <c r="J14" s="455">
        <f aca="true" t="shared" si="2" ref="J14">I14*$C14</f>
        <v>25543.999178600003</v>
      </c>
      <c r="K14" s="454">
        <v>0.35</v>
      </c>
      <c r="L14" s="456">
        <f aca="true" t="shared" si="3" ref="L14">K14*$C14</f>
        <v>25543.999178600003</v>
      </c>
    </row>
    <row r="15" spans="1:12" ht="12.75">
      <c r="A15" s="459"/>
      <c r="B15" s="451"/>
      <c r="C15" s="452"/>
      <c r="D15" s="453"/>
      <c r="E15" s="454"/>
      <c r="F15" s="455"/>
      <c r="G15" s="454"/>
      <c r="H15" s="455"/>
      <c r="I15" s="454"/>
      <c r="J15" s="455"/>
      <c r="K15" s="454"/>
      <c r="L15" s="456"/>
    </row>
    <row r="16" spans="1:12" ht="12.75">
      <c r="A16" s="459" t="s">
        <v>762</v>
      </c>
      <c r="B16" s="2" t="s">
        <v>29</v>
      </c>
      <c r="C16" s="452">
        <f>ORÇAMENTO!I35</f>
        <v>23803.486454399997</v>
      </c>
      <c r="D16" s="453">
        <f t="shared" si="1"/>
        <v>0.04384384281974974</v>
      </c>
      <c r="E16" s="454"/>
      <c r="F16" s="455"/>
      <c r="G16" s="454">
        <v>0.3</v>
      </c>
      <c r="H16" s="455">
        <f aca="true" t="shared" si="4" ref="H16:H26">G16*$C16</f>
        <v>7141.045936319999</v>
      </c>
      <c r="I16" s="454">
        <v>0.3</v>
      </c>
      <c r="J16" s="455">
        <f aca="true" t="shared" si="5" ref="J16:J24">I16*$C16</f>
        <v>7141.045936319999</v>
      </c>
      <c r="K16" s="454">
        <v>0.4</v>
      </c>
      <c r="L16" s="456">
        <f aca="true" t="shared" si="6" ref="L16:L24">K16*$C16</f>
        <v>9521.39458176</v>
      </c>
    </row>
    <row r="17" spans="1:12" ht="12.75">
      <c r="A17" s="459"/>
      <c r="B17" s="460"/>
      <c r="C17" s="452"/>
      <c r="D17" s="453"/>
      <c r="E17" s="454"/>
      <c r="F17" s="455"/>
      <c r="G17" s="454"/>
      <c r="H17" s="455"/>
      <c r="I17" s="454"/>
      <c r="J17" s="455"/>
      <c r="K17" s="454"/>
      <c r="L17" s="456"/>
    </row>
    <row r="18" spans="1:12" ht="12.75">
      <c r="A18" s="459" t="s">
        <v>763</v>
      </c>
      <c r="B18" s="2" t="s">
        <v>53</v>
      </c>
      <c r="C18" s="452">
        <f>ORÇAMENTO!I41</f>
        <v>25677.569803000002</v>
      </c>
      <c r="D18" s="453">
        <f t="shared" si="1"/>
        <v>0.04729573277396023</v>
      </c>
      <c r="E18" s="454"/>
      <c r="F18" s="455"/>
      <c r="G18" s="454">
        <v>0.3</v>
      </c>
      <c r="H18" s="455">
        <f t="shared" si="4"/>
        <v>7703.2709409</v>
      </c>
      <c r="I18" s="454">
        <v>0.4</v>
      </c>
      <c r="J18" s="455">
        <f t="shared" si="5"/>
        <v>10271.027921200002</v>
      </c>
      <c r="K18" s="454">
        <v>0.3</v>
      </c>
      <c r="L18" s="456">
        <f t="shared" si="6"/>
        <v>7703.2709409</v>
      </c>
    </row>
    <row r="19" spans="1:12" ht="12.75">
      <c r="A19" s="459"/>
      <c r="B19" s="451"/>
      <c r="C19" s="452"/>
      <c r="D19" s="453"/>
      <c r="E19" s="454"/>
      <c r="F19" s="455"/>
      <c r="G19" s="454"/>
      <c r="H19" s="455"/>
      <c r="I19" s="454"/>
      <c r="J19" s="455"/>
      <c r="K19" s="454"/>
      <c r="L19" s="456"/>
    </row>
    <row r="20" spans="1:12" ht="12.75">
      <c r="A20" s="459" t="s">
        <v>764</v>
      </c>
      <c r="B20" s="2" t="s">
        <v>22</v>
      </c>
      <c r="C20" s="452">
        <f>ORÇAMENTO!I47</f>
        <v>103617.64497917998</v>
      </c>
      <c r="D20" s="453">
        <f t="shared" si="1"/>
        <v>0.1908542157688854</v>
      </c>
      <c r="E20" s="454"/>
      <c r="F20" s="455"/>
      <c r="G20" s="454">
        <v>0.5</v>
      </c>
      <c r="H20" s="455">
        <f t="shared" si="4"/>
        <v>51808.82248958999</v>
      </c>
      <c r="I20" s="454">
        <v>0.5</v>
      </c>
      <c r="J20" s="455">
        <f t="shared" si="5"/>
        <v>51808.82248958999</v>
      </c>
      <c r="K20" s="454"/>
      <c r="L20" s="456"/>
    </row>
    <row r="21" spans="1:12" ht="12.75">
      <c r="A21" s="459"/>
      <c r="B21" s="451"/>
      <c r="C21" s="452"/>
      <c r="D21" s="453"/>
      <c r="E21" s="454"/>
      <c r="F21" s="455"/>
      <c r="G21" s="454"/>
      <c r="H21" s="455"/>
      <c r="I21" s="454"/>
      <c r="J21" s="455"/>
      <c r="K21" s="454"/>
      <c r="L21" s="456"/>
    </row>
    <row r="22" spans="1:12" ht="12.75">
      <c r="A22" s="459" t="s">
        <v>765</v>
      </c>
      <c r="B22" s="2" t="s">
        <v>33</v>
      </c>
      <c r="C22" s="452">
        <f>ORÇAMENTO!I57</f>
        <v>27716.47247392</v>
      </c>
      <c r="D22" s="453">
        <f t="shared" si="1"/>
        <v>0.05105120483053622</v>
      </c>
      <c r="E22" s="454"/>
      <c r="F22" s="455"/>
      <c r="G22" s="454">
        <v>0.3</v>
      </c>
      <c r="H22" s="455">
        <f t="shared" si="4"/>
        <v>8314.941742175999</v>
      </c>
      <c r="I22" s="454">
        <v>0.3</v>
      </c>
      <c r="J22" s="455">
        <f t="shared" si="5"/>
        <v>8314.941742175999</v>
      </c>
      <c r="K22" s="454">
        <v>0.4</v>
      </c>
      <c r="L22" s="456">
        <f t="shared" si="6"/>
        <v>11086.588989568001</v>
      </c>
    </row>
    <row r="23" spans="1:12" ht="12.75">
      <c r="A23" s="459"/>
      <c r="B23" s="451"/>
      <c r="C23" s="452"/>
      <c r="D23" s="453"/>
      <c r="E23" s="454"/>
      <c r="F23" s="455"/>
      <c r="G23" s="454"/>
      <c r="H23" s="455"/>
      <c r="I23" s="454"/>
      <c r="J23" s="455"/>
      <c r="K23" s="454"/>
      <c r="L23" s="456"/>
    </row>
    <row r="24" spans="1:12" ht="12.75">
      <c r="A24" s="459" t="s">
        <v>766</v>
      </c>
      <c r="B24" s="22" t="s">
        <v>59</v>
      </c>
      <c r="C24" s="452">
        <f>ORÇAMENTO!I69</f>
        <v>94019.839392</v>
      </c>
      <c r="D24" s="453">
        <f t="shared" si="1"/>
        <v>0.17317593656449384</v>
      </c>
      <c r="E24" s="454"/>
      <c r="F24" s="455"/>
      <c r="G24" s="454"/>
      <c r="H24" s="455"/>
      <c r="I24" s="454">
        <v>0.5</v>
      </c>
      <c r="J24" s="455">
        <f t="shared" si="5"/>
        <v>47009.919696</v>
      </c>
      <c r="K24" s="454">
        <v>0.5</v>
      </c>
      <c r="L24" s="456">
        <f t="shared" si="6"/>
        <v>47009.919696</v>
      </c>
    </row>
    <row r="25" spans="1:12" ht="12.75">
      <c r="A25" s="459"/>
      <c r="B25" s="451"/>
      <c r="C25" s="452"/>
      <c r="D25" s="453"/>
      <c r="E25" s="454"/>
      <c r="F25" s="455"/>
      <c r="G25" s="454"/>
      <c r="H25" s="455"/>
      <c r="I25" s="454"/>
      <c r="J25" s="455"/>
      <c r="K25" s="454"/>
      <c r="L25" s="456"/>
    </row>
    <row r="26" spans="1:12" ht="12.75">
      <c r="A26" s="459" t="s">
        <v>768</v>
      </c>
      <c r="B26" s="430" t="s">
        <v>716</v>
      </c>
      <c r="C26" s="452">
        <f>ORÇAMENTO!I78</f>
        <v>68095.43099200001</v>
      </c>
      <c r="D26" s="453">
        <f t="shared" si="1"/>
        <v>0.12542554969314132</v>
      </c>
      <c r="E26" s="454">
        <v>0.25</v>
      </c>
      <c r="F26" s="455">
        <f t="shared" si="0"/>
        <v>17023.857748000002</v>
      </c>
      <c r="G26" s="454">
        <v>0.25</v>
      </c>
      <c r="H26" s="455">
        <f t="shared" si="4"/>
        <v>17023.857748000002</v>
      </c>
      <c r="I26" s="454">
        <v>0.25</v>
      </c>
      <c r="J26" s="455">
        <f aca="true" t="shared" si="7" ref="J26">I26*$C26</f>
        <v>17023.857748000002</v>
      </c>
      <c r="K26" s="454">
        <v>0.25</v>
      </c>
      <c r="L26" s="456">
        <f aca="true" t="shared" si="8" ref="L26">K26*$C26</f>
        <v>17023.857748000002</v>
      </c>
    </row>
    <row r="27" spans="1:12" ht="12.75">
      <c r="A27" s="459"/>
      <c r="B27" s="451"/>
      <c r="C27" s="452"/>
      <c r="D27" s="453"/>
      <c r="E27" s="454"/>
      <c r="F27" s="455"/>
      <c r="G27" s="454"/>
      <c r="H27" s="455"/>
      <c r="I27" s="454"/>
      <c r="J27" s="455"/>
      <c r="K27" s="454"/>
      <c r="L27" s="456"/>
    </row>
    <row r="28" spans="1:12" ht="12.75">
      <c r="A28" s="459"/>
      <c r="B28" s="451"/>
      <c r="C28" s="452"/>
      <c r="D28" s="453"/>
      <c r="E28" s="454"/>
      <c r="F28" s="455"/>
      <c r="G28" s="454"/>
      <c r="H28" s="455"/>
      <c r="I28" s="454"/>
      <c r="J28" s="455"/>
      <c r="K28" s="454"/>
      <c r="L28" s="456"/>
    </row>
    <row r="29" spans="1:12" ht="12.75">
      <c r="A29" s="459"/>
      <c r="B29" s="451"/>
      <c r="C29" s="452"/>
      <c r="D29" s="453"/>
      <c r="E29" s="454"/>
      <c r="F29" s="455"/>
      <c r="G29" s="454"/>
      <c r="H29" s="455"/>
      <c r="I29" s="454"/>
      <c r="J29" s="455"/>
      <c r="K29" s="454"/>
      <c r="L29" s="456"/>
    </row>
    <row r="30" spans="1:12" ht="12.75">
      <c r="A30" s="459"/>
      <c r="B30" s="451"/>
      <c r="C30" s="452"/>
      <c r="D30" s="453"/>
      <c r="E30" s="454"/>
      <c r="F30" s="455"/>
      <c r="G30" s="454"/>
      <c r="H30" s="455"/>
      <c r="I30" s="454"/>
      <c r="J30" s="455"/>
      <c r="K30" s="454"/>
      <c r="L30" s="456"/>
    </row>
    <row r="31" spans="1:12" ht="12.75">
      <c r="A31" s="459"/>
      <c r="B31" s="460"/>
      <c r="C31" s="452"/>
      <c r="D31" s="453"/>
      <c r="E31" s="454"/>
      <c r="F31" s="455"/>
      <c r="G31" s="454"/>
      <c r="H31" s="455"/>
      <c r="I31" s="454"/>
      <c r="J31" s="455"/>
      <c r="K31" s="454"/>
      <c r="L31" s="456"/>
    </row>
    <row r="32" spans="1:12" ht="12.75">
      <c r="A32" s="461"/>
      <c r="B32" s="462"/>
      <c r="C32" s="463"/>
      <c r="D32" s="464"/>
      <c r="E32" s="465"/>
      <c r="F32" s="466"/>
      <c r="G32" s="465"/>
      <c r="H32" s="455"/>
      <c r="I32" s="454"/>
      <c r="J32" s="455"/>
      <c r="K32" s="454"/>
      <c r="L32" s="456"/>
    </row>
    <row r="33" spans="1:12" ht="12.75">
      <c r="A33" s="632" t="s">
        <v>769</v>
      </c>
      <c r="B33" s="633"/>
      <c r="C33" s="481">
        <f>SUM(C6:C27)+0.02</f>
        <v>542915.148935749</v>
      </c>
      <c r="D33" s="482">
        <f>SUM(D6:D27)</f>
        <v>0.999999963161831</v>
      </c>
      <c r="E33" s="467">
        <f>F33/C33</f>
        <v>0.2585444375026285</v>
      </c>
      <c r="F33" s="468">
        <f>SUM(F6:F32)</f>
        <v>140367.691793249</v>
      </c>
      <c r="G33" s="467">
        <f>H33/C33</f>
        <v>0.21650674424208555</v>
      </c>
      <c r="H33" s="469">
        <f>SUM(H6:H32)</f>
        <v>117544.79129578598</v>
      </c>
      <c r="I33" s="454">
        <f>J33/C33</f>
        <v>0.30780797890696354</v>
      </c>
      <c r="J33" s="455">
        <f>SUM(J6:J32)</f>
        <v>167113.61471188598</v>
      </c>
      <c r="K33" s="454">
        <f>L33/C33</f>
        <v>0.21714080251015347</v>
      </c>
      <c r="L33" s="456">
        <f>SUM(L6:L32)</f>
        <v>117889.03113482802</v>
      </c>
    </row>
    <row r="34" spans="1:12" ht="13.5" thickBot="1">
      <c r="A34" s="634" t="s">
        <v>770</v>
      </c>
      <c r="B34" s="635"/>
      <c r="C34" s="626">
        <f>SUM(C33)</f>
        <v>542915.148935749</v>
      </c>
      <c r="D34" s="470">
        <f>SUM(D6:D32)</f>
        <v>0.999999963161831</v>
      </c>
      <c r="E34" s="471">
        <f>E33</f>
        <v>0.2585444375026285</v>
      </c>
      <c r="F34" s="472">
        <f>F33</f>
        <v>140367.691793249</v>
      </c>
      <c r="G34" s="473">
        <f>G33+E34</f>
        <v>0.47505118174471406</v>
      </c>
      <c r="H34" s="474">
        <f aca="true" t="shared" si="9" ref="H34:J34">H33+F34</f>
        <v>257912.48308903497</v>
      </c>
      <c r="I34" s="475">
        <f>I33+G34</f>
        <v>0.7828591606516776</v>
      </c>
      <c r="J34" s="474">
        <f t="shared" si="9"/>
        <v>425026.09780092095</v>
      </c>
      <c r="K34" s="475">
        <f>K33+I34</f>
        <v>0.999999963161831</v>
      </c>
      <c r="L34" s="476">
        <f>L33+J34+0.02</f>
        <v>542915.148935749</v>
      </c>
    </row>
  </sheetData>
  <mergeCells count="12">
    <mergeCell ref="K3:L3"/>
    <mergeCell ref="A33:B33"/>
    <mergeCell ref="A34:B34"/>
    <mergeCell ref="B1:J1"/>
    <mergeCell ref="B2:J2"/>
    <mergeCell ref="A3:A4"/>
    <mergeCell ref="B3:B4"/>
    <mergeCell ref="C3:C4"/>
    <mergeCell ref="D3:D4"/>
    <mergeCell ref="E3:F3"/>
    <mergeCell ref="G3:H3"/>
    <mergeCell ref="I3:J3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landscape" paperSize="9" scale="80" r:id="rId1"/>
  <headerFooter>
    <oddHeader>&amp;LCCR CONSTRUÇÕES LTDA
CNPJ 633365720001-66
INSC. EST. 19417692-4
RUA SENADOR TEODORO PACHECO 988 SALA 910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 topLeftCell="A1">
      <selection activeCell="A45" sqref="A45:D45"/>
    </sheetView>
  </sheetViews>
  <sheetFormatPr defaultColWidth="9.140625" defaultRowHeight="12.75"/>
  <cols>
    <col min="2" max="2" width="42.421875" style="0" customWidth="1"/>
    <col min="3" max="3" width="16.57421875" style="0" customWidth="1"/>
    <col min="4" max="4" width="25.421875" style="0" customWidth="1"/>
  </cols>
  <sheetData>
    <row r="1" spans="1:4" ht="15.75">
      <c r="A1" s="502"/>
      <c r="B1" s="650"/>
      <c r="C1" s="650"/>
      <c r="D1" s="650"/>
    </row>
    <row r="2" spans="1:4" ht="15.75">
      <c r="A2" s="502"/>
      <c r="B2" s="650"/>
      <c r="C2" s="650"/>
      <c r="D2" s="650"/>
    </row>
    <row r="3" spans="1:4" ht="15.75">
      <c r="A3" s="489"/>
      <c r="B3" s="489"/>
      <c r="C3" s="489"/>
      <c r="D3" s="489"/>
    </row>
    <row r="4" spans="1:4" ht="15.75">
      <c r="A4" s="651" t="s">
        <v>805</v>
      </c>
      <c r="B4" s="652"/>
      <c r="C4" s="652"/>
      <c r="D4" s="653"/>
    </row>
    <row r="5" spans="1:4" ht="15.75">
      <c r="A5" s="503" t="s">
        <v>0</v>
      </c>
      <c r="B5" s="503" t="s">
        <v>37</v>
      </c>
      <c r="C5" s="504" t="s">
        <v>806</v>
      </c>
      <c r="D5" s="504" t="s">
        <v>807</v>
      </c>
    </row>
    <row r="6" spans="1:4" ht="14.25">
      <c r="A6" s="654" t="s">
        <v>808</v>
      </c>
      <c r="B6" s="654"/>
      <c r="C6" s="654"/>
      <c r="D6" s="654"/>
    </row>
    <row r="7" spans="1:4" ht="14.25">
      <c r="A7" s="505" t="s">
        <v>809</v>
      </c>
      <c r="B7" s="506" t="s">
        <v>810</v>
      </c>
      <c r="C7" s="507">
        <v>0</v>
      </c>
      <c r="D7" s="507">
        <v>0</v>
      </c>
    </row>
    <row r="8" spans="1:4" ht="14.25">
      <c r="A8" s="505" t="s">
        <v>811</v>
      </c>
      <c r="B8" s="506" t="s">
        <v>812</v>
      </c>
      <c r="C8" s="507">
        <v>0.015</v>
      </c>
      <c r="D8" s="507">
        <v>0.015</v>
      </c>
    </row>
    <row r="9" spans="1:4" ht="28.5">
      <c r="A9" s="505" t="s">
        <v>813</v>
      </c>
      <c r="B9" s="506" t="s">
        <v>814</v>
      </c>
      <c r="C9" s="507">
        <v>0.01</v>
      </c>
      <c r="D9" s="507">
        <v>0.01</v>
      </c>
    </row>
    <row r="10" spans="1:4" ht="28.5">
      <c r="A10" s="505" t="s">
        <v>815</v>
      </c>
      <c r="B10" s="506" t="s">
        <v>816</v>
      </c>
      <c r="C10" s="507">
        <v>0.002</v>
      </c>
      <c r="D10" s="507">
        <v>0.002</v>
      </c>
    </row>
    <row r="11" spans="1:4" ht="28.5">
      <c r="A11" s="505" t="s">
        <v>817</v>
      </c>
      <c r="B11" s="506" t="s">
        <v>818</v>
      </c>
      <c r="C11" s="507">
        <v>0.006</v>
      </c>
      <c r="D11" s="507">
        <v>0.006</v>
      </c>
    </row>
    <row r="12" spans="1:4" ht="14.25">
      <c r="A12" s="505" t="s">
        <v>819</v>
      </c>
      <c r="B12" s="506" t="s">
        <v>820</v>
      </c>
      <c r="C12" s="507">
        <v>0.025</v>
      </c>
      <c r="D12" s="507">
        <v>0.025</v>
      </c>
    </row>
    <row r="13" spans="1:4" ht="14.25">
      <c r="A13" s="505" t="s">
        <v>821</v>
      </c>
      <c r="B13" s="506" t="s">
        <v>822</v>
      </c>
      <c r="C13" s="507">
        <v>0.03</v>
      </c>
      <c r="D13" s="507">
        <v>0.03</v>
      </c>
    </row>
    <row r="14" spans="1:4" ht="28.5">
      <c r="A14" s="505" t="s">
        <v>823</v>
      </c>
      <c r="B14" s="506" t="s">
        <v>824</v>
      </c>
      <c r="C14" s="507">
        <v>0.08</v>
      </c>
      <c r="D14" s="507">
        <v>0.08</v>
      </c>
    </row>
    <row r="15" spans="1:4" ht="14.25">
      <c r="A15" s="505" t="s">
        <v>825</v>
      </c>
      <c r="B15" s="506" t="s">
        <v>826</v>
      </c>
      <c r="C15" s="507">
        <v>0</v>
      </c>
      <c r="D15" s="507">
        <v>0</v>
      </c>
    </row>
    <row r="16" spans="1:4" ht="14.25">
      <c r="A16" s="508" t="s">
        <v>827</v>
      </c>
      <c r="B16" s="509" t="s">
        <v>828</v>
      </c>
      <c r="C16" s="510">
        <f>SUM(C7:C15)</f>
        <v>0.16799999999999998</v>
      </c>
      <c r="D16" s="510">
        <f>SUM(D7:D15)</f>
        <v>0.16799999999999998</v>
      </c>
    </row>
    <row r="17" spans="1:4" ht="14.25">
      <c r="A17" s="654" t="s">
        <v>829</v>
      </c>
      <c r="B17" s="654"/>
      <c r="C17" s="654"/>
      <c r="D17" s="654"/>
    </row>
    <row r="18" spans="1:4" ht="14.25">
      <c r="A18" s="505" t="s">
        <v>830</v>
      </c>
      <c r="B18" s="506" t="s">
        <v>831</v>
      </c>
      <c r="C18" s="507">
        <v>0.1784</v>
      </c>
      <c r="D18" s="507" t="s">
        <v>832</v>
      </c>
    </row>
    <row r="19" spans="1:4" ht="14.25">
      <c r="A19" s="505" t="s">
        <v>833</v>
      </c>
      <c r="B19" s="506" t="s">
        <v>834</v>
      </c>
      <c r="C19" s="507">
        <v>0.0395</v>
      </c>
      <c r="D19" s="507" t="s">
        <v>832</v>
      </c>
    </row>
    <row r="20" spans="1:4" ht="14.25">
      <c r="A20" s="505" t="s">
        <v>835</v>
      </c>
      <c r="B20" s="506" t="s">
        <v>836</v>
      </c>
      <c r="C20" s="507">
        <v>0.0092</v>
      </c>
      <c r="D20" s="507">
        <v>0.0069</v>
      </c>
    </row>
    <row r="21" spans="1:4" ht="14.25">
      <c r="A21" s="505" t="s">
        <v>837</v>
      </c>
      <c r="B21" s="506" t="s">
        <v>838</v>
      </c>
      <c r="C21" s="507">
        <v>0.1102</v>
      </c>
      <c r="D21" s="507">
        <v>0.0833</v>
      </c>
    </row>
    <row r="22" spans="1:4" ht="14.25">
      <c r="A22" s="505" t="s">
        <v>839</v>
      </c>
      <c r="B22" s="506" t="s">
        <v>840</v>
      </c>
      <c r="C22" s="507">
        <v>0.0008</v>
      </c>
      <c r="D22" s="507">
        <v>0.0006</v>
      </c>
    </row>
    <row r="23" spans="1:4" ht="14.25">
      <c r="A23" s="505" t="s">
        <v>841</v>
      </c>
      <c r="B23" s="506" t="s">
        <v>842</v>
      </c>
      <c r="C23" s="507">
        <v>0.0073</v>
      </c>
      <c r="D23" s="507">
        <v>0.0056</v>
      </c>
    </row>
    <row r="24" spans="1:4" ht="14.25">
      <c r="A24" s="505" t="s">
        <v>843</v>
      </c>
      <c r="B24" s="506" t="s">
        <v>844</v>
      </c>
      <c r="C24" s="507">
        <v>0.012</v>
      </c>
      <c r="D24" s="507" t="s">
        <v>832</v>
      </c>
    </row>
    <row r="25" spans="1:4" ht="14.25">
      <c r="A25" s="505" t="s">
        <v>845</v>
      </c>
      <c r="B25" s="506" t="s">
        <v>846</v>
      </c>
      <c r="C25" s="507">
        <v>0.0012</v>
      </c>
      <c r="D25" s="507">
        <v>0.0009</v>
      </c>
    </row>
    <row r="26" spans="1:4" ht="14.25">
      <c r="A26" s="505" t="s">
        <v>847</v>
      </c>
      <c r="B26" s="506" t="s">
        <v>848</v>
      </c>
      <c r="C26" s="507">
        <v>0.1246</v>
      </c>
      <c r="D26" s="507">
        <v>0.0942</v>
      </c>
    </row>
    <row r="27" spans="1:4" ht="14.25">
      <c r="A27" s="505" t="s">
        <v>849</v>
      </c>
      <c r="B27" s="506" t="s">
        <v>850</v>
      </c>
      <c r="C27" s="507">
        <v>0.0003</v>
      </c>
      <c r="D27" s="507">
        <v>0.0002</v>
      </c>
    </row>
    <row r="28" spans="1:4" ht="28.5">
      <c r="A28" s="511" t="s">
        <v>851</v>
      </c>
      <c r="B28" s="512" t="s">
        <v>852</v>
      </c>
      <c r="C28" s="510">
        <f>SUM(C18:C27)</f>
        <v>0.48350000000000004</v>
      </c>
      <c r="D28" s="510">
        <f>SUM(D18:D27)</f>
        <v>0.1917</v>
      </c>
    </row>
    <row r="29" spans="1:4" ht="14.25">
      <c r="A29" s="645" t="s">
        <v>853</v>
      </c>
      <c r="B29" s="645"/>
      <c r="C29" s="645"/>
      <c r="D29" s="645"/>
    </row>
    <row r="30" spans="1:4" ht="14.25">
      <c r="A30" s="513" t="s">
        <v>854</v>
      </c>
      <c r="B30" s="514" t="s">
        <v>855</v>
      </c>
      <c r="C30" s="507">
        <v>0.081</v>
      </c>
      <c r="D30" s="507">
        <v>0.0613</v>
      </c>
    </row>
    <row r="31" spans="1:4" ht="14.25">
      <c r="A31" s="513" t="s">
        <v>856</v>
      </c>
      <c r="B31" s="514" t="s">
        <v>857</v>
      </c>
      <c r="C31" s="507">
        <v>0.0019</v>
      </c>
      <c r="D31" s="507">
        <v>0.0014</v>
      </c>
    </row>
    <row r="32" spans="1:4" ht="14.25">
      <c r="A32" s="513" t="s">
        <v>858</v>
      </c>
      <c r="B32" s="514" t="s">
        <v>859</v>
      </c>
      <c r="C32" s="507">
        <v>0.0182</v>
      </c>
      <c r="D32" s="507">
        <v>0.0138</v>
      </c>
    </row>
    <row r="33" spans="1:4" ht="14.25">
      <c r="A33" s="513" t="s">
        <v>860</v>
      </c>
      <c r="B33" s="514" t="s">
        <v>861</v>
      </c>
      <c r="C33" s="507">
        <v>0.0522</v>
      </c>
      <c r="D33" s="507">
        <v>0.0395</v>
      </c>
    </row>
    <row r="34" spans="1:4" ht="14.25">
      <c r="A34" s="513" t="s">
        <v>862</v>
      </c>
      <c r="B34" s="514" t="s">
        <v>863</v>
      </c>
      <c r="C34" s="507">
        <v>0.0068</v>
      </c>
      <c r="D34" s="507">
        <v>0.0052</v>
      </c>
    </row>
    <row r="35" spans="1:4" ht="28.5">
      <c r="A35" s="511" t="s">
        <v>549</v>
      </c>
      <c r="B35" s="515" t="s">
        <v>864</v>
      </c>
      <c r="C35" s="510">
        <f>SUM(C30:C34)</f>
        <v>0.1601</v>
      </c>
      <c r="D35" s="510">
        <f>SUM(D30:D34)</f>
        <v>0.12120000000000002</v>
      </c>
    </row>
    <row r="36" spans="1:4" ht="14.25">
      <c r="A36" s="645" t="s">
        <v>865</v>
      </c>
      <c r="B36" s="645"/>
      <c r="C36" s="645"/>
      <c r="D36" s="645"/>
    </row>
    <row r="37" spans="1:4" ht="14.25">
      <c r="A37" s="513" t="s">
        <v>866</v>
      </c>
      <c r="B37" s="514" t="s">
        <v>867</v>
      </c>
      <c r="C37" s="507">
        <f>ROUND(C16*C28,4)</f>
        <v>0.0812</v>
      </c>
      <c r="D37" s="507">
        <f>ROUND(D16*D28,4)</f>
        <v>0.0322</v>
      </c>
    </row>
    <row r="38" spans="1:4" ht="42.75">
      <c r="A38" s="513" t="s">
        <v>868</v>
      </c>
      <c r="B38" s="514" t="s">
        <v>869</v>
      </c>
      <c r="C38" s="507">
        <f>ROUND((C16*C31)+(C14*C30),4)</f>
        <v>0.0068</v>
      </c>
      <c r="D38" s="507">
        <f>ROUND((D16*D31)+(D14*D30),4)</f>
        <v>0.0051</v>
      </c>
    </row>
    <row r="39" spans="1:4" ht="28.5">
      <c r="A39" s="511" t="s">
        <v>870</v>
      </c>
      <c r="B39" s="515" t="s">
        <v>871</v>
      </c>
      <c r="C39" s="510">
        <f>SUM(C37:C38)</f>
        <v>0.088</v>
      </c>
      <c r="D39" s="510">
        <f>SUM(D37:D38)</f>
        <v>0.0373</v>
      </c>
    </row>
    <row r="40" spans="1:4" ht="15.75">
      <c r="A40" s="516"/>
      <c r="B40" s="517" t="s">
        <v>872</v>
      </c>
      <c r="C40" s="518">
        <f>SUM(C16,C28,C35,C39)</f>
        <v>0.8996</v>
      </c>
      <c r="D40" s="518">
        <f>SUM(D16,D28,D35,D39)</f>
        <v>0.5182</v>
      </c>
    </row>
    <row r="41" spans="1:4" ht="15.75">
      <c r="A41" s="519" t="s">
        <v>798</v>
      </c>
      <c r="B41" s="519"/>
      <c r="C41" s="519"/>
      <c r="D41" s="520"/>
    </row>
    <row r="42" spans="1:4" ht="15.75">
      <c r="A42" s="646" t="s">
        <v>873</v>
      </c>
      <c r="B42" s="646"/>
      <c r="C42" s="646"/>
      <c r="D42" s="646"/>
    </row>
    <row r="43" spans="1:4" ht="15.75">
      <c r="A43" s="646" t="s">
        <v>874</v>
      </c>
      <c r="B43" s="646"/>
      <c r="C43" s="646"/>
      <c r="D43" s="646"/>
    </row>
    <row r="44" spans="1:4" ht="15.75">
      <c r="A44" s="647"/>
      <c r="B44" s="648"/>
      <c r="C44" s="648"/>
      <c r="D44" s="648"/>
    </row>
    <row r="45" spans="1:4" ht="14.25">
      <c r="A45" s="649"/>
      <c r="B45" s="649"/>
      <c r="C45" s="649"/>
      <c r="D45" s="649"/>
    </row>
  </sheetData>
  <mergeCells count="11">
    <mergeCell ref="A29:D29"/>
    <mergeCell ref="B1:D1"/>
    <mergeCell ref="B2:D2"/>
    <mergeCell ref="A4:D4"/>
    <mergeCell ref="A6:D6"/>
    <mergeCell ref="A17:D17"/>
    <mergeCell ref="A36:D36"/>
    <mergeCell ref="A42:D42"/>
    <mergeCell ref="A43:D43"/>
    <mergeCell ref="A44:D44"/>
    <mergeCell ref="A45:D45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portrait" paperSize="9" scale="90" r:id="rId1"/>
  <headerFooter>
    <oddHeader>&amp;LCCR CONSTRUÇÕES LTDA
CNPJ 633365720001-66
INSC. EST. 19417692-4
RUA SENADOR TEODORO PACHECO 988 SALA 910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 topLeftCell="A1">
      <selection activeCell="J7" sqref="J7"/>
    </sheetView>
  </sheetViews>
  <sheetFormatPr defaultColWidth="9.140625" defaultRowHeight="12.75"/>
  <cols>
    <col min="2" max="2" width="46.57421875" style="0" customWidth="1"/>
    <col min="3" max="3" width="20.28125" style="0" customWidth="1"/>
  </cols>
  <sheetData>
    <row r="1" spans="1:6" ht="14.25">
      <c r="A1" s="521" t="s">
        <v>534</v>
      </c>
      <c r="B1" s="655" t="s">
        <v>804</v>
      </c>
      <c r="C1" s="655"/>
      <c r="D1" s="655"/>
      <c r="E1" s="655"/>
      <c r="F1" s="655"/>
    </row>
    <row r="2" spans="1:6" ht="14.25">
      <c r="A2" s="522" t="s">
        <v>779</v>
      </c>
      <c r="B2" s="523" t="s">
        <v>875</v>
      </c>
      <c r="C2" s="524"/>
      <c r="D2" s="524"/>
      <c r="E2" s="524"/>
      <c r="F2" s="524"/>
    </row>
    <row r="3" spans="1:6" ht="15.75">
      <c r="A3" s="656" t="s">
        <v>780</v>
      </c>
      <c r="B3" s="656"/>
      <c r="C3" s="656"/>
      <c r="D3" s="483"/>
      <c r="E3" s="483"/>
      <c r="F3" s="483"/>
    </row>
    <row r="4" spans="1:6" ht="15.75">
      <c r="A4" s="484" t="s">
        <v>0</v>
      </c>
      <c r="B4" s="484" t="s">
        <v>37</v>
      </c>
      <c r="C4" s="484" t="s">
        <v>781</v>
      </c>
      <c r="D4" s="485"/>
      <c r="E4" s="485"/>
      <c r="F4" s="485"/>
    </row>
    <row r="5" spans="1:6" ht="15.75">
      <c r="A5" s="486" t="s">
        <v>2</v>
      </c>
      <c r="B5" s="487" t="s">
        <v>782</v>
      </c>
      <c r="C5" s="488">
        <v>0.0065</v>
      </c>
      <c r="D5" s="489"/>
      <c r="E5" s="489"/>
      <c r="F5" s="489"/>
    </row>
    <row r="6" spans="1:6" ht="15.75">
      <c r="A6" s="486" t="s">
        <v>8</v>
      </c>
      <c r="B6" s="487" t="s">
        <v>783</v>
      </c>
      <c r="C6" s="488">
        <v>0.03</v>
      </c>
      <c r="D6" s="489"/>
      <c r="E6" s="489"/>
      <c r="F6" s="489"/>
    </row>
    <row r="7" spans="1:6" ht="15.75">
      <c r="A7" s="486" t="s">
        <v>9</v>
      </c>
      <c r="B7" s="487" t="s">
        <v>784</v>
      </c>
      <c r="C7" s="488">
        <v>0.0045</v>
      </c>
      <c r="D7" s="489"/>
      <c r="E7" s="489"/>
      <c r="F7" s="489"/>
    </row>
    <row r="8" spans="1:6" ht="15.75">
      <c r="A8" s="486" t="s">
        <v>11</v>
      </c>
      <c r="B8" s="487" t="s">
        <v>785</v>
      </c>
      <c r="C8" s="488">
        <v>0.0035</v>
      </c>
      <c r="D8" s="489"/>
      <c r="E8" s="489"/>
      <c r="F8" s="489"/>
    </row>
    <row r="9" spans="1:6" ht="15.75">
      <c r="A9" s="486" t="s">
        <v>14</v>
      </c>
      <c r="B9" s="487" t="s">
        <v>786</v>
      </c>
      <c r="C9" s="488">
        <v>0.0097</v>
      </c>
      <c r="D9" s="489"/>
      <c r="E9" s="489"/>
      <c r="F9" s="489"/>
    </row>
    <row r="10" spans="1:6" ht="15.75">
      <c r="A10" s="486" t="s">
        <v>17</v>
      </c>
      <c r="B10" s="487" t="s">
        <v>787</v>
      </c>
      <c r="C10" s="488">
        <f>SUM(C11:C16)</f>
        <v>0.1115</v>
      </c>
      <c r="D10" s="489"/>
      <c r="E10" s="489"/>
      <c r="F10" s="489"/>
    </row>
    <row r="11" spans="1:6" ht="15.75">
      <c r="A11" s="490" t="s">
        <v>18</v>
      </c>
      <c r="B11" s="491" t="s">
        <v>788</v>
      </c>
      <c r="C11" s="492">
        <v>0.0065</v>
      </c>
      <c r="D11" s="489"/>
      <c r="E11" s="489"/>
      <c r="F11" s="489"/>
    </row>
    <row r="12" spans="1:6" ht="15.75">
      <c r="A12" s="490" t="s">
        <v>741</v>
      </c>
      <c r="B12" s="491" t="s">
        <v>789</v>
      </c>
      <c r="C12" s="492">
        <v>0.03</v>
      </c>
      <c r="D12" s="489"/>
      <c r="E12" s="489"/>
      <c r="F12" s="489"/>
    </row>
    <row r="13" spans="1:6" ht="15.75">
      <c r="A13" s="490" t="s">
        <v>742</v>
      </c>
      <c r="B13" s="491" t="s">
        <v>790</v>
      </c>
      <c r="C13" s="492">
        <v>0</v>
      </c>
      <c r="D13" s="489"/>
      <c r="E13" s="489"/>
      <c r="F13" s="489"/>
    </row>
    <row r="14" spans="1:6" ht="15.75">
      <c r="A14" s="490" t="s">
        <v>743</v>
      </c>
      <c r="B14" s="491" t="s">
        <v>791</v>
      </c>
      <c r="C14" s="492">
        <v>0</v>
      </c>
      <c r="D14" s="489"/>
      <c r="E14" s="489"/>
      <c r="F14" s="489"/>
    </row>
    <row r="15" spans="1:6" ht="15.75">
      <c r="A15" s="490" t="s">
        <v>792</v>
      </c>
      <c r="B15" s="491" t="s">
        <v>793</v>
      </c>
      <c r="C15" s="492">
        <v>0.03</v>
      </c>
      <c r="D15" s="489"/>
      <c r="E15" s="489"/>
      <c r="F15" s="489"/>
    </row>
    <row r="16" spans="1:6" ht="15.75">
      <c r="A16" s="490" t="s">
        <v>794</v>
      </c>
      <c r="B16" s="491" t="s">
        <v>795</v>
      </c>
      <c r="C16" s="492">
        <v>0.045</v>
      </c>
      <c r="D16" s="489"/>
      <c r="E16" s="489"/>
      <c r="F16" s="489"/>
    </row>
    <row r="17" spans="1:6" ht="15.75">
      <c r="A17" s="486" t="s">
        <v>19</v>
      </c>
      <c r="B17" s="487" t="s">
        <v>796</v>
      </c>
      <c r="C17" s="488">
        <v>0.07</v>
      </c>
      <c r="D17" s="489"/>
      <c r="E17" s="489"/>
      <c r="F17" s="489"/>
    </row>
    <row r="18" spans="1:6" ht="15.75">
      <c r="A18" s="491"/>
      <c r="B18" s="493" t="s">
        <v>797</v>
      </c>
      <c r="C18" s="494">
        <f>ROUND((((1+C6+C7+C8+C9)*(1+C5)*(1+C17))/(1-C10))-1,3)</f>
        <v>0.27</v>
      </c>
      <c r="D18" s="489"/>
      <c r="E18" s="489"/>
      <c r="F18" s="489"/>
    </row>
    <row r="19" spans="1:6" ht="14.25">
      <c r="A19" s="495" t="s">
        <v>798</v>
      </c>
      <c r="B19" s="495"/>
      <c r="C19" s="496"/>
      <c r="D19" s="355"/>
      <c r="E19" s="355"/>
      <c r="F19" s="355"/>
    </row>
    <row r="20" spans="1:6" ht="14.25">
      <c r="A20" s="657" t="s">
        <v>799</v>
      </c>
      <c r="B20" s="657"/>
      <c r="C20" s="657"/>
      <c r="D20" s="355"/>
      <c r="E20" s="355"/>
      <c r="F20" s="355"/>
    </row>
    <row r="21" spans="1:6" ht="14.25">
      <c r="A21" s="497"/>
      <c r="B21" s="498"/>
      <c r="C21" s="496"/>
      <c r="D21" s="355"/>
      <c r="E21" s="355"/>
      <c r="F21" s="355"/>
    </row>
    <row r="22" spans="1:6" ht="15.75">
      <c r="A22" s="656" t="s">
        <v>800</v>
      </c>
      <c r="B22" s="656"/>
      <c r="C22" s="656"/>
      <c r="D22" s="489"/>
      <c r="E22" s="489"/>
      <c r="F22" s="489"/>
    </row>
    <row r="23" spans="1:6" ht="15.75">
      <c r="A23" s="484" t="s">
        <v>0</v>
      </c>
      <c r="B23" s="484" t="s">
        <v>37</v>
      </c>
      <c r="C23" s="484" t="s">
        <v>781</v>
      </c>
      <c r="D23" s="489"/>
      <c r="E23" s="489"/>
      <c r="F23" s="489"/>
    </row>
    <row r="24" spans="1:6" ht="15.75">
      <c r="A24" s="486" t="s">
        <v>2</v>
      </c>
      <c r="B24" s="487" t="s">
        <v>782</v>
      </c>
      <c r="C24" s="488">
        <v>0.007</v>
      </c>
      <c r="D24" s="489"/>
      <c r="E24" s="489"/>
      <c r="F24" s="489"/>
    </row>
    <row r="25" spans="1:6" ht="15.75">
      <c r="A25" s="486" t="s">
        <v>8</v>
      </c>
      <c r="B25" s="487" t="s">
        <v>783</v>
      </c>
      <c r="C25" s="488">
        <v>0.015</v>
      </c>
      <c r="D25" s="489"/>
      <c r="E25" s="489"/>
      <c r="F25" s="489"/>
    </row>
    <row r="26" spans="1:6" ht="15.75">
      <c r="A26" s="486" t="s">
        <v>9</v>
      </c>
      <c r="B26" s="487" t="s">
        <v>784</v>
      </c>
      <c r="C26" s="488">
        <v>0.0015</v>
      </c>
      <c r="D26" s="489"/>
      <c r="E26" s="489"/>
      <c r="F26" s="489"/>
    </row>
    <row r="27" spans="1:6" ht="15.75">
      <c r="A27" s="486" t="s">
        <v>11</v>
      </c>
      <c r="B27" s="487" t="s">
        <v>785</v>
      </c>
      <c r="C27" s="488">
        <v>0.0015</v>
      </c>
      <c r="D27" s="489"/>
      <c r="E27" s="489"/>
      <c r="F27" s="489"/>
    </row>
    <row r="28" spans="1:6" ht="15.75">
      <c r="A28" s="486" t="s">
        <v>14</v>
      </c>
      <c r="B28" s="487" t="s">
        <v>786</v>
      </c>
      <c r="C28" s="488">
        <v>0.0056</v>
      </c>
      <c r="D28" s="489"/>
      <c r="E28" s="489"/>
      <c r="F28" s="489"/>
    </row>
    <row r="29" spans="1:6" ht="15.75">
      <c r="A29" s="486" t="s">
        <v>17</v>
      </c>
      <c r="B29" s="487" t="s">
        <v>787</v>
      </c>
      <c r="C29" s="488">
        <f>SUM(C30:C35)</f>
        <v>0.08149999999999999</v>
      </c>
      <c r="D29" s="489"/>
      <c r="E29" s="489"/>
      <c r="F29" s="489"/>
    </row>
    <row r="30" spans="1:6" ht="15.75">
      <c r="A30" s="490" t="s">
        <v>18</v>
      </c>
      <c r="B30" s="491" t="s">
        <v>788</v>
      </c>
      <c r="C30" s="492">
        <v>0.0065</v>
      </c>
      <c r="D30" s="489"/>
      <c r="E30" s="489"/>
      <c r="F30" s="489"/>
    </row>
    <row r="31" spans="1:6" ht="15.75">
      <c r="A31" s="490" t="s">
        <v>741</v>
      </c>
      <c r="B31" s="491" t="s">
        <v>789</v>
      </c>
      <c r="C31" s="492">
        <v>0.03</v>
      </c>
      <c r="D31" s="489"/>
      <c r="E31" s="489"/>
      <c r="F31" s="489"/>
    </row>
    <row r="32" spans="1:6" ht="15.75">
      <c r="A32" s="490" t="s">
        <v>742</v>
      </c>
      <c r="B32" s="491" t="s">
        <v>790</v>
      </c>
      <c r="C32" s="492">
        <v>0</v>
      </c>
      <c r="D32" s="489"/>
      <c r="E32" s="489"/>
      <c r="F32" s="489"/>
    </row>
    <row r="33" spans="1:6" ht="15.75">
      <c r="A33" s="490" t="s">
        <v>743</v>
      </c>
      <c r="B33" s="491" t="s">
        <v>791</v>
      </c>
      <c r="C33" s="492">
        <v>0</v>
      </c>
      <c r="D33" s="489"/>
      <c r="E33" s="489"/>
      <c r="F33" s="489"/>
    </row>
    <row r="34" spans="1:6" ht="15.75">
      <c r="A34" s="490" t="s">
        <v>792</v>
      </c>
      <c r="B34" s="491" t="s">
        <v>793</v>
      </c>
      <c r="C34" s="492">
        <v>0</v>
      </c>
      <c r="D34" s="489"/>
      <c r="E34" s="489"/>
      <c r="F34" s="489"/>
    </row>
    <row r="35" spans="1:6" ht="15.75">
      <c r="A35" s="490" t="s">
        <v>794</v>
      </c>
      <c r="B35" s="491" t="s">
        <v>795</v>
      </c>
      <c r="C35" s="492">
        <v>0.045</v>
      </c>
      <c r="D35" s="489"/>
      <c r="E35" s="489"/>
      <c r="F35" s="489"/>
    </row>
    <row r="36" spans="1:6" ht="15.75">
      <c r="A36" s="486" t="s">
        <v>19</v>
      </c>
      <c r="B36" s="487" t="s">
        <v>796</v>
      </c>
      <c r="C36" s="488">
        <v>0.0616</v>
      </c>
      <c r="D36" s="489"/>
      <c r="E36" s="489"/>
      <c r="F36" s="489"/>
    </row>
    <row r="37" spans="1:6" ht="15.75">
      <c r="A37" s="491"/>
      <c r="B37" s="493" t="s">
        <v>797</v>
      </c>
      <c r="C37" s="494">
        <f>ROUND((((1+C25+C26+C27+C28)*(1+C24)*(1+C36))/(1-C29))-1,3)</f>
        <v>0.191</v>
      </c>
      <c r="D37" s="489"/>
      <c r="E37" s="489"/>
      <c r="F37" s="489"/>
    </row>
    <row r="38" spans="1:6" ht="14.25">
      <c r="A38" s="495" t="s">
        <v>801</v>
      </c>
      <c r="B38" s="497"/>
      <c r="C38" s="499"/>
      <c r="D38" s="355"/>
      <c r="E38" s="355"/>
      <c r="F38" s="355"/>
    </row>
    <row r="39" spans="1:6" ht="14.25">
      <c r="A39" s="658" t="s">
        <v>802</v>
      </c>
      <c r="B39" s="658"/>
      <c r="C39" s="658"/>
      <c r="D39" s="355"/>
      <c r="E39" s="355"/>
      <c r="F39" s="355"/>
    </row>
    <row r="40" spans="1:6" ht="15.75">
      <c r="A40" s="500"/>
      <c r="B40" s="500"/>
      <c r="C40" s="501"/>
      <c r="D40" s="489"/>
      <c r="E40" s="489"/>
      <c r="F40" s="489"/>
    </row>
    <row r="41" spans="1:6" ht="15.75">
      <c r="A41" s="659" t="s">
        <v>803</v>
      </c>
      <c r="B41" s="660"/>
      <c r="C41" s="661"/>
      <c r="D41" s="489"/>
      <c r="E41" s="489"/>
      <c r="F41" s="489"/>
    </row>
    <row r="42" spans="1:6" ht="15.75">
      <c r="A42" s="489"/>
      <c r="B42" s="489"/>
      <c r="C42" s="489"/>
      <c r="D42" s="489"/>
      <c r="E42" s="489"/>
      <c r="F42" s="489"/>
    </row>
    <row r="43" spans="1:6" ht="15.75">
      <c r="A43" s="649" t="str">
        <f>'[1]Orçamento'!A170</f>
        <v>OBSERVAÇÕES GERAIS:</v>
      </c>
      <c r="B43" s="649"/>
      <c r="C43" s="649"/>
      <c r="D43" s="489"/>
      <c r="E43" s="489"/>
      <c r="F43" s="489"/>
    </row>
  </sheetData>
  <mergeCells count="7">
    <mergeCell ref="A43:C43"/>
    <mergeCell ref="B1:F1"/>
    <mergeCell ref="A3:C3"/>
    <mergeCell ref="A20:C20"/>
    <mergeCell ref="A22:C22"/>
    <mergeCell ref="A39:C39"/>
    <mergeCell ref="A41:C41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portrait" paperSize="9" r:id="rId1"/>
  <headerFooter>
    <oddHeader>&amp;LCCR CONSTRUÇÕES LTDA
CNPJ 633365720001-66
INSC. EST. 19417692-4
RUA SENADOR TEODORO PACHECO 988 SALA 910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8"/>
  <sheetViews>
    <sheetView workbookViewId="0" topLeftCell="A405">
      <selection activeCell="F424" sqref="F424"/>
    </sheetView>
  </sheetViews>
  <sheetFormatPr defaultColWidth="9.140625" defaultRowHeight="12.75"/>
  <cols>
    <col min="1" max="1" width="18.7109375" style="0" customWidth="1"/>
    <col min="2" max="2" width="65.421875" style="0" customWidth="1"/>
    <col min="3" max="3" width="14.7109375" style="0" customWidth="1"/>
    <col min="4" max="4" width="15.7109375" style="0" customWidth="1"/>
    <col min="5" max="5" width="16.140625" style="0" customWidth="1"/>
    <col min="6" max="6" width="14.421875" style="0" customWidth="1"/>
  </cols>
  <sheetData>
    <row r="1" spans="1:6" ht="15.75">
      <c r="A1" s="790" t="s">
        <v>68</v>
      </c>
      <c r="B1" s="791"/>
      <c r="C1" s="792"/>
      <c r="D1" s="793"/>
      <c r="E1" s="793"/>
      <c r="F1" s="794"/>
    </row>
    <row r="2" spans="1:6" ht="15.75">
      <c r="A2" s="620" t="s">
        <v>685</v>
      </c>
      <c r="B2" s="705" t="s">
        <v>70</v>
      </c>
      <c r="C2" s="706"/>
      <c r="D2" s="706"/>
      <c r="E2" s="706"/>
      <c r="F2" s="707"/>
    </row>
    <row r="3" spans="1:6" ht="30">
      <c r="A3" s="33" t="s">
        <v>71</v>
      </c>
      <c r="B3" s="34" t="s">
        <v>72</v>
      </c>
      <c r="C3" s="35" t="s">
        <v>73</v>
      </c>
      <c r="D3" s="36" t="s">
        <v>74</v>
      </c>
      <c r="E3" s="37" t="s">
        <v>75</v>
      </c>
      <c r="F3" s="35" t="s">
        <v>76</v>
      </c>
    </row>
    <row r="4" spans="1:6" ht="15">
      <c r="A4" s="696" t="s">
        <v>77</v>
      </c>
      <c r="B4" s="697"/>
      <c r="C4" s="697"/>
      <c r="D4" s="697"/>
      <c r="E4" s="697"/>
      <c r="F4" s="698"/>
    </row>
    <row r="5" spans="1:6" ht="30">
      <c r="A5" s="38" t="s">
        <v>78</v>
      </c>
      <c r="B5" s="39" t="s">
        <v>79</v>
      </c>
      <c r="C5" s="40" t="s">
        <v>34</v>
      </c>
      <c r="D5" s="41">
        <v>1</v>
      </c>
      <c r="E5" s="42">
        <v>295.21</v>
      </c>
      <c r="F5" s="43">
        <f>D5*E5</f>
        <v>295.21</v>
      </c>
    </row>
    <row r="6" spans="1:6" ht="15">
      <c r="A6" s="719"/>
      <c r="B6" s="719"/>
      <c r="C6" s="719"/>
      <c r="D6" s="719"/>
      <c r="E6" s="719"/>
      <c r="F6" s="719"/>
    </row>
    <row r="7" spans="1:6" ht="15">
      <c r="A7" s="716" t="str">
        <f>"BDI ("&amp;$H$2&amp;"%)"</f>
        <v>BDI (%)</v>
      </c>
      <c r="B7" s="716"/>
      <c r="C7" s="44" t="s">
        <v>80</v>
      </c>
      <c r="D7" s="45">
        <f>$H$2</f>
        <v>0</v>
      </c>
      <c r="E7" s="46">
        <f>ROUND(SUM(F5:F5),2)</f>
        <v>295.21</v>
      </c>
      <c r="F7" s="47">
        <f>ROUND(D7*E7/100,2)</f>
        <v>0</v>
      </c>
    </row>
    <row r="8" spans="1:6" ht="15.75">
      <c r="A8" s="704" t="s">
        <v>81</v>
      </c>
      <c r="B8" s="704"/>
      <c r="C8" s="48"/>
      <c r="D8" s="49"/>
      <c r="E8" s="50"/>
      <c r="F8" s="51">
        <f>ROUND(SUM(F5:F7),2)-0.05</f>
        <v>295.15999999999997</v>
      </c>
    </row>
    <row r="9" spans="1:6" ht="15.75">
      <c r="A9" s="52"/>
      <c r="B9" s="52"/>
      <c r="C9" s="53"/>
      <c r="D9" s="54"/>
      <c r="E9" s="55"/>
      <c r="F9" s="56"/>
    </row>
    <row r="10" spans="1:6" ht="15.75">
      <c r="A10" s="620" t="s">
        <v>680</v>
      </c>
      <c r="B10" s="717" t="s">
        <v>82</v>
      </c>
      <c r="C10" s="717"/>
      <c r="D10" s="717"/>
      <c r="E10" s="717"/>
      <c r="F10" s="717"/>
    </row>
    <row r="11" spans="1:6" ht="30">
      <c r="A11" s="57" t="s">
        <v>71</v>
      </c>
      <c r="B11" s="35" t="s">
        <v>72</v>
      </c>
      <c r="C11" s="35" t="s">
        <v>73</v>
      </c>
      <c r="D11" s="36" t="s">
        <v>74</v>
      </c>
      <c r="E11" s="37" t="s">
        <v>75</v>
      </c>
      <c r="F11" s="35" t="s">
        <v>76</v>
      </c>
    </row>
    <row r="12" spans="1:6" ht="15">
      <c r="A12" s="714" t="s">
        <v>83</v>
      </c>
      <c r="B12" s="714"/>
      <c r="C12" s="714"/>
      <c r="D12" s="714"/>
      <c r="E12" s="714"/>
      <c r="F12" s="714"/>
    </row>
    <row r="13" spans="1:6" ht="15">
      <c r="A13" s="58" t="s">
        <v>84</v>
      </c>
      <c r="B13" s="59" t="s">
        <v>85</v>
      </c>
      <c r="C13" s="60" t="s">
        <v>38</v>
      </c>
      <c r="D13" s="61">
        <v>16</v>
      </c>
      <c r="E13" s="62">
        <v>12</v>
      </c>
      <c r="F13" s="621">
        <f>ROUNDDOWN((D13*E13),2)</f>
        <v>192</v>
      </c>
    </row>
    <row r="14" spans="1:6" ht="15">
      <c r="A14" s="696" t="s">
        <v>86</v>
      </c>
      <c r="B14" s="754"/>
      <c r="C14" s="697"/>
      <c r="D14" s="697"/>
      <c r="E14" s="697"/>
      <c r="F14" s="698"/>
    </row>
    <row r="15" spans="1:8" ht="15">
      <c r="A15" s="34">
        <v>34780</v>
      </c>
      <c r="B15" s="63" t="s">
        <v>87</v>
      </c>
      <c r="C15" s="35" t="s">
        <v>88</v>
      </c>
      <c r="D15" s="64">
        <v>100</v>
      </c>
      <c r="E15" s="46">
        <v>86.88</v>
      </c>
      <c r="F15" s="622">
        <f>D15*E15</f>
        <v>8688</v>
      </c>
      <c r="H15">
        <f>600.52/16.16</f>
        <v>37.16089108910891</v>
      </c>
    </row>
    <row r="16" spans="1:8" ht="15">
      <c r="A16" s="34">
        <v>2355</v>
      </c>
      <c r="B16" s="63" t="s">
        <v>89</v>
      </c>
      <c r="C16" s="35" t="s">
        <v>88</v>
      </c>
      <c r="D16" s="64">
        <f>130+37.16</f>
        <v>167.16</v>
      </c>
      <c r="E16" s="46">
        <v>16.16</v>
      </c>
      <c r="F16" s="622">
        <f>D16*E16</f>
        <v>2701.3056</v>
      </c>
      <c r="H16">
        <f>1630.92/120</f>
        <v>13.591000000000001</v>
      </c>
    </row>
    <row r="17" spans="1:6" ht="15">
      <c r="A17" s="699"/>
      <c r="B17" s="787"/>
      <c r="C17" s="700"/>
      <c r="D17" s="700"/>
      <c r="E17" s="700"/>
      <c r="F17" s="701"/>
    </row>
    <row r="18" spans="1:6" ht="15">
      <c r="A18" s="702" t="str">
        <f>"BDI ("&amp;$H$2&amp;"%)"</f>
        <v>BDI (%)</v>
      </c>
      <c r="B18" s="703"/>
      <c r="C18" s="44" t="s">
        <v>80</v>
      </c>
      <c r="D18" s="45"/>
      <c r="E18" s="46">
        <f>SUM(F16,F15,F13)</f>
        <v>11581.3056</v>
      </c>
      <c r="F18" s="47"/>
    </row>
    <row r="19" spans="1:6" ht="15.75">
      <c r="A19" s="788" t="s">
        <v>81</v>
      </c>
      <c r="B19" s="789"/>
      <c r="C19" s="65"/>
      <c r="D19" s="66"/>
      <c r="E19" s="67"/>
      <c r="F19" s="441">
        <f>ROUND(SUM(F15:F18),2)</f>
        <v>11389.31</v>
      </c>
    </row>
    <row r="20" spans="1:6" ht="15.75">
      <c r="A20" s="68"/>
      <c r="B20" s="69"/>
      <c r="C20" s="70"/>
      <c r="D20" s="71"/>
      <c r="E20" s="72"/>
      <c r="F20" s="73"/>
    </row>
    <row r="21" spans="1:6" ht="15.75">
      <c r="A21" s="52"/>
      <c r="B21" s="52"/>
      <c r="C21" s="53"/>
      <c r="D21" s="54"/>
      <c r="E21" s="55"/>
      <c r="F21" s="56"/>
    </row>
    <row r="22" spans="1:6" ht="15.75">
      <c r="A22" s="52"/>
      <c r="B22" s="52"/>
      <c r="C22" s="53"/>
      <c r="D22" s="54"/>
      <c r="E22" s="55"/>
      <c r="F22" s="79"/>
    </row>
    <row r="23" spans="1:6" ht="15.75">
      <c r="A23" s="620" t="s">
        <v>963</v>
      </c>
      <c r="B23" s="705" t="s">
        <v>96</v>
      </c>
      <c r="C23" s="706"/>
      <c r="D23" s="706"/>
      <c r="E23" s="706"/>
      <c r="F23" s="707"/>
    </row>
    <row r="24" spans="1:6" ht="30">
      <c r="A24" s="57" t="s">
        <v>71</v>
      </c>
      <c r="B24" s="34" t="s">
        <v>72</v>
      </c>
      <c r="C24" s="35" t="s">
        <v>73</v>
      </c>
      <c r="D24" s="36" t="s">
        <v>74</v>
      </c>
      <c r="E24" s="37" t="s">
        <v>75</v>
      </c>
      <c r="F24" s="35" t="s">
        <v>76</v>
      </c>
    </row>
    <row r="25" spans="1:6" ht="15">
      <c r="A25" s="696" t="s">
        <v>86</v>
      </c>
      <c r="B25" s="697"/>
      <c r="C25" s="697"/>
      <c r="D25" s="697"/>
      <c r="E25" s="697"/>
      <c r="F25" s="698"/>
    </row>
    <row r="26" spans="1:6" ht="15">
      <c r="A26" s="58">
        <v>2706</v>
      </c>
      <c r="B26" s="80" t="s">
        <v>97</v>
      </c>
      <c r="C26" s="35" t="s">
        <v>88</v>
      </c>
      <c r="D26" s="64">
        <v>24</v>
      </c>
      <c r="E26" s="46">
        <v>71.9</v>
      </c>
      <c r="F26" s="77">
        <f>D26*E26</f>
        <v>1725.6000000000001</v>
      </c>
    </row>
    <row r="27" spans="1:6" ht="15">
      <c r="A27" s="35">
        <v>4083</v>
      </c>
      <c r="B27" s="80" t="s">
        <v>98</v>
      </c>
      <c r="C27" s="35" t="s">
        <v>88</v>
      </c>
      <c r="D27" s="64">
        <v>120</v>
      </c>
      <c r="E27" s="46">
        <v>15.01</v>
      </c>
      <c r="F27" s="77">
        <f>D27*E27</f>
        <v>1801.2</v>
      </c>
    </row>
    <row r="28" spans="1:6" ht="15">
      <c r="A28" s="699"/>
      <c r="B28" s="700"/>
      <c r="C28" s="700"/>
      <c r="D28" s="700"/>
      <c r="E28" s="700"/>
      <c r="F28" s="701"/>
    </row>
    <row r="29" spans="1:6" ht="15">
      <c r="A29" s="702" t="str">
        <f>"BDI ("&amp;$H$2&amp;"%)"</f>
        <v>BDI (%)</v>
      </c>
      <c r="B29" s="711"/>
      <c r="C29" s="44" t="s">
        <v>80</v>
      </c>
      <c r="D29" s="45">
        <f>$H$2</f>
        <v>0</v>
      </c>
      <c r="E29" s="46">
        <f>SUM(F26:F27)</f>
        <v>3526.8</v>
      </c>
      <c r="F29" s="47"/>
    </row>
    <row r="30" spans="1:6" ht="15.75">
      <c r="A30" s="788" t="s">
        <v>81</v>
      </c>
      <c r="B30" s="789"/>
      <c r="C30" s="65"/>
      <c r="D30" s="66"/>
      <c r="E30" s="67"/>
      <c r="F30" s="441">
        <f>ROUND(SUM(F26:F29),2)-0.2</f>
        <v>3526.6000000000004</v>
      </c>
    </row>
    <row r="31" spans="1:6" ht="15">
      <c r="A31" s="81"/>
      <c r="B31" s="81"/>
      <c r="C31" s="81"/>
      <c r="D31" s="82"/>
      <c r="E31" s="81"/>
      <c r="F31" s="81"/>
    </row>
    <row r="32" spans="1:6" ht="18">
      <c r="A32" s="623" t="s">
        <v>968</v>
      </c>
      <c r="B32" s="732" t="s">
        <v>108</v>
      </c>
      <c r="C32" s="733"/>
      <c r="D32" s="733"/>
      <c r="E32" s="733"/>
      <c r="F32" s="734"/>
    </row>
    <row r="33" spans="1:6" ht="36">
      <c r="A33" s="103" t="s">
        <v>99</v>
      </c>
      <c r="B33" s="104" t="s">
        <v>72</v>
      </c>
      <c r="C33" s="105" t="s">
        <v>73</v>
      </c>
      <c r="D33" s="106" t="s">
        <v>74</v>
      </c>
      <c r="E33" s="107" t="s">
        <v>75</v>
      </c>
      <c r="F33" s="107" t="s">
        <v>76</v>
      </c>
    </row>
    <row r="34" spans="1:6" ht="18">
      <c r="A34" s="720" t="s">
        <v>83</v>
      </c>
      <c r="B34" s="722"/>
      <c r="C34" s="722"/>
      <c r="D34" s="722"/>
      <c r="E34" s="722"/>
      <c r="F34" s="723"/>
    </row>
    <row r="35" spans="1:6" ht="18">
      <c r="A35" s="118">
        <v>366</v>
      </c>
      <c r="B35" s="119" t="s">
        <v>109</v>
      </c>
      <c r="C35" s="110" t="s">
        <v>7</v>
      </c>
      <c r="D35" s="111">
        <v>1.1</v>
      </c>
      <c r="E35" s="112">
        <v>60</v>
      </c>
      <c r="F35" s="112">
        <f>D35*E35</f>
        <v>66</v>
      </c>
    </row>
    <row r="36" spans="1:6" ht="18">
      <c r="A36" s="720" t="s">
        <v>103</v>
      </c>
      <c r="B36" s="722"/>
      <c r="C36" s="722"/>
      <c r="D36" s="722"/>
      <c r="E36" s="722"/>
      <c r="F36" s="723"/>
    </row>
    <row r="37" spans="1:6" ht="18">
      <c r="A37" s="108">
        <v>88316</v>
      </c>
      <c r="B37" s="109" t="s">
        <v>95</v>
      </c>
      <c r="C37" s="110" t="s">
        <v>88</v>
      </c>
      <c r="D37" s="111">
        <v>3</v>
      </c>
      <c r="E37" s="112">
        <v>13.03</v>
      </c>
      <c r="F37" s="112">
        <f>D37*E37</f>
        <v>39.089999999999996</v>
      </c>
    </row>
    <row r="38" spans="1:6" ht="18">
      <c r="A38" s="727"/>
      <c r="B38" s="728"/>
      <c r="C38" s="728"/>
      <c r="D38" s="728"/>
      <c r="E38" s="728"/>
      <c r="F38" s="729"/>
    </row>
    <row r="39" spans="1:6" ht="18">
      <c r="A39" s="730" t="str">
        <f>"BDI ("&amp;$H$2&amp;"%)"</f>
        <v>BDI (%)</v>
      </c>
      <c r="B39" s="786"/>
      <c r="C39" s="110" t="s">
        <v>80</v>
      </c>
      <c r="D39" s="113">
        <f>$H$2</f>
        <v>0</v>
      </c>
      <c r="E39" s="112">
        <f>SUM(F35:F35,F37:F37)</f>
        <v>105.09</v>
      </c>
      <c r="F39" s="112">
        <f>D39*E39/100</f>
        <v>0</v>
      </c>
    </row>
    <row r="40" spans="1:6" ht="18">
      <c r="A40" s="784" t="s">
        <v>81</v>
      </c>
      <c r="B40" s="785"/>
      <c r="C40" s="114"/>
      <c r="D40" s="115"/>
      <c r="E40" s="116"/>
      <c r="F40" s="116">
        <f>E39+F39</f>
        <v>105.09</v>
      </c>
    </row>
    <row r="41" spans="1:6" ht="18">
      <c r="A41" s="120"/>
      <c r="B41" s="121"/>
      <c r="C41" s="122"/>
      <c r="D41" s="123"/>
      <c r="E41" s="124"/>
      <c r="F41" s="125"/>
    </row>
    <row r="42" spans="1:6" ht="36">
      <c r="A42" s="102" t="s">
        <v>110</v>
      </c>
      <c r="B42" s="687" t="s">
        <v>111</v>
      </c>
      <c r="C42" s="687"/>
      <c r="D42" s="687"/>
      <c r="E42" s="687"/>
      <c r="F42" s="687"/>
    </row>
    <row r="43" spans="1:6" ht="36">
      <c r="A43" s="103" t="s">
        <v>99</v>
      </c>
      <c r="B43" s="105" t="s">
        <v>72</v>
      </c>
      <c r="C43" s="105" t="s">
        <v>73</v>
      </c>
      <c r="D43" s="106" t="s">
        <v>74</v>
      </c>
      <c r="E43" s="107" t="s">
        <v>75</v>
      </c>
      <c r="F43" s="107" t="s">
        <v>76</v>
      </c>
    </row>
    <row r="44" spans="1:6" ht="18">
      <c r="A44" s="685" t="s">
        <v>83</v>
      </c>
      <c r="B44" s="685"/>
      <c r="C44" s="685"/>
      <c r="D44" s="685"/>
      <c r="E44" s="685"/>
      <c r="F44" s="685"/>
    </row>
    <row r="45" spans="1:6" ht="18">
      <c r="A45" s="126">
        <v>370</v>
      </c>
      <c r="B45" s="127" t="s">
        <v>100</v>
      </c>
      <c r="C45" s="110" t="s">
        <v>7</v>
      </c>
      <c r="D45" s="111">
        <v>0.8904</v>
      </c>
      <c r="E45" s="112">
        <v>60</v>
      </c>
      <c r="F45" s="112">
        <f>D45*E45</f>
        <v>53.424</v>
      </c>
    </row>
    <row r="46" spans="1:6" ht="18">
      <c r="A46" s="110">
        <v>1379</v>
      </c>
      <c r="B46" s="127" t="s">
        <v>90</v>
      </c>
      <c r="C46" s="110" t="s">
        <v>54</v>
      </c>
      <c r="D46" s="111">
        <v>320</v>
      </c>
      <c r="E46" s="112">
        <v>0.56</v>
      </c>
      <c r="F46" s="112">
        <f>ROUNDUP((D46*E46),2)</f>
        <v>179.2</v>
      </c>
    </row>
    <row r="47" spans="1:6" ht="36">
      <c r="A47" s="128">
        <v>4721</v>
      </c>
      <c r="B47" s="129" t="s">
        <v>112</v>
      </c>
      <c r="C47" s="130" t="s">
        <v>7</v>
      </c>
      <c r="D47" s="131">
        <v>0.836</v>
      </c>
      <c r="E47" s="132">
        <v>85</v>
      </c>
      <c r="F47" s="132">
        <f>ROUNDUP((D47*E47),2)</f>
        <v>71.06</v>
      </c>
    </row>
    <row r="48" spans="1:6" ht="18">
      <c r="A48" s="720" t="s">
        <v>102</v>
      </c>
      <c r="B48" s="722"/>
      <c r="C48" s="722"/>
      <c r="D48" s="722"/>
      <c r="E48" s="722"/>
      <c r="F48" s="723"/>
    </row>
    <row r="49" spans="1:6" ht="54">
      <c r="A49" s="133">
        <v>10533</v>
      </c>
      <c r="B49" s="134" t="s">
        <v>113</v>
      </c>
      <c r="C49" s="133" t="s">
        <v>88</v>
      </c>
      <c r="D49" s="135">
        <v>1.8336</v>
      </c>
      <c r="E49" s="136">
        <v>2.7</v>
      </c>
      <c r="F49" s="136">
        <f>ROUNDUP((D49*E49),2)</f>
        <v>4.96</v>
      </c>
    </row>
    <row r="50" spans="1:6" ht="18">
      <c r="A50" s="685" t="s">
        <v>103</v>
      </c>
      <c r="B50" s="685"/>
      <c r="C50" s="685"/>
      <c r="D50" s="685"/>
      <c r="E50" s="685"/>
      <c r="F50" s="685"/>
    </row>
    <row r="51" spans="1:6" ht="36">
      <c r="A51" s="110">
        <v>88297</v>
      </c>
      <c r="B51" s="127" t="s">
        <v>114</v>
      </c>
      <c r="C51" s="137" t="s">
        <v>88</v>
      </c>
      <c r="D51" s="138">
        <v>1.8336</v>
      </c>
      <c r="E51" s="139">
        <v>17.01</v>
      </c>
      <c r="F51" s="112">
        <f>D51*E51</f>
        <v>31.189536</v>
      </c>
    </row>
    <row r="52" spans="1:6" ht="18">
      <c r="A52" s="110">
        <v>88316</v>
      </c>
      <c r="B52" s="127" t="s">
        <v>95</v>
      </c>
      <c r="C52" s="137" t="s">
        <v>88</v>
      </c>
      <c r="D52" s="138">
        <v>3.2378</v>
      </c>
      <c r="E52" s="140">
        <v>13.03</v>
      </c>
      <c r="F52" s="112">
        <f>ROUNDUP((D52*E52),2)</f>
        <v>42.19</v>
      </c>
    </row>
    <row r="53" spans="1:6" ht="18">
      <c r="A53" s="681"/>
      <c r="B53" s="681"/>
      <c r="C53" s="681"/>
      <c r="D53" s="681"/>
      <c r="E53" s="681"/>
      <c r="F53" s="681"/>
    </row>
    <row r="54" spans="1:6" ht="18">
      <c r="A54" s="689" t="s">
        <v>81</v>
      </c>
      <c r="B54" s="689"/>
      <c r="C54" s="114"/>
      <c r="D54" s="115"/>
      <c r="E54" s="116"/>
      <c r="F54" s="116">
        <f>SUM(F45:F47,F49,F51:F52)</f>
        <v>382.0235359999999</v>
      </c>
    </row>
    <row r="55" spans="1:6" ht="18">
      <c r="A55" s="117"/>
      <c r="B55" s="117"/>
      <c r="C55" s="117"/>
      <c r="D55" s="117"/>
      <c r="E55" s="117"/>
      <c r="F55" s="117"/>
    </row>
    <row r="56" spans="1:6" ht="36">
      <c r="A56" s="102" t="s">
        <v>115</v>
      </c>
      <c r="B56" s="732" t="s">
        <v>116</v>
      </c>
      <c r="C56" s="733"/>
      <c r="D56" s="733"/>
      <c r="E56" s="733"/>
      <c r="F56" s="734"/>
    </row>
    <row r="57" spans="1:6" ht="36">
      <c r="A57" s="103" t="s">
        <v>99</v>
      </c>
      <c r="B57" s="104" t="s">
        <v>72</v>
      </c>
      <c r="C57" s="105" t="s">
        <v>73</v>
      </c>
      <c r="D57" s="106" t="s">
        <v>74</v>
      </c>
      <c r="E57" s="107" t="s">
        <v>75</v>
      </c>
      <c r="F57" s="107" t="s">
        <v>76</v>
      </c>
    </row>
    <row r="58" spans="1:6" ht="18">
      <c r="A58" s="720" t="s">
        <v>83</v>
      </c>
      <c r="B58" s="722"/>
      <c r="C58" s="722"/>
      <c r="D58" s="722"/>
      <c r="E58" s="722"/>
      <c r="F58" s="723"/>
    </row>
    <row r="59" spans="1:6" ht="18">
      <c r="A59" s="126">
        <v>39</v>
      </c>
      <c r="B59" s="127" t="s">
        <v>117</v>
      </c>
      <c r="C59" s="110" t="s">
        <v>54</v>
      </c>
      <c r="D59" s="111">
        <v>1.1</v>
      </c>
      <c r="E59" s="112">
        <v>3.18</v>
      </c>
      <c r="F59" s="112">
        <f>D59*E59</f>
        <v>3.4980000000000007</v>
      </c>
    </row>
    <row r="60" spans="1:6" ht="18">
      <c r="A60" s="110">
        <v>337</v>
      </c>
      <c r="B60" s="127" t="s">
        <v>104</v>
      </c>
      <c r="C60" s="110" t="s">
        <v>54</v>
      </c>
      <c r="D60" s="111">
        <v>0.02</v>
      </c>
      <c r="E60" s="112">
        <v>9</v>
      </c>
      <c r="F60" s="112">
        <f>D60*E60</f>
        <v>0.18</v>
      </c>
    </row>
    <row r="61" spans="1:6" ht="18">
      <c r="A61" s="720" t="s">
        <v>103</v>
      </c>
      <c r="B61" s="722"/>
      <c r="C61" s="722"/>
      <c r="D61" s="722"/>
      <c r="E61" s="722"/>
      <c r="F61" s="723"/>
    </row>
    <row r="62" spans="1:6" ht="36">
      <c r="A62" s="141">
        <v>88238</v>
      </c>
      <c r="B62" s="109" t="s">
        <v>118</v>
      </c>
      <c r="C62" s="110" t="s">
        <v>88</v>
      </c>
      <c r="D62" s="111">
        <v>0.1</v>
      </c>
      <c r="E62" s="112">
        <v>13.42</v>
      </c>
      <c r="F62" s="112">
        <f>D62*E62</f>
        <v>1.342</v>
      </c>
    </row>
    <row r="63" spans="1:6" ht="18">
      <c r="A63" s="118">
        <v>88245</v>
      </c>
      <c r="B63" s="109" t="s">
        <v>119</v>
      </c>
      <c r="C63" s="110" t="s">
        <v>88</v>
      </c>
      <c r="D63" s="138">
        <v>0.1</v>
      </c>
      <c r="E63" s="140">
        <v>16.35</v>
      </c>
      <c r="F63" s="112">
        <f>D63*E63</f>
        <v>1.6350000000000002</v>
      </c>
    </row>
    <row r="64" spans="1:6" ht="18">
      <c r="A64" s="727"/>
      <c r="B64" s="728"/>
      <c r="C64" s="728"/>
      <c r="D64" s="728"/>
      <c r="E64" s="728"/>
      <c r="F64" s="729"/>
    </row>
    <row r="65" spans="1:6" ht="18">
      <c r="A65" s="689" t="s">
        <v>81</v>
      </c>
      <c r="B65" s="689"/>
      <c r="C65" s="114"/>
      <c r="D65" s="115"/>
      <c r="E65" s="116"/>
      <c r="F65" s="116">
        <f>SUM(F59:F60,F62:F63)</f>
        <v>6.655000000000001</v>
      </c>
    </row>
    <row r="66" spans="1:6" ht="18">
      <c r="A66" s="117"/>
      <c r="B66" s="117"/>
      <c r="C66" s="117"/>
      <c r="D66" s="117"/>
      <c r="E66" s="117"/>
      <c r="F66" s="117"/>
    </row>
    <row r="67" spans="1:6" ht="36">
      <c r="A67" s="102" t="s">
        <v>120</v>
      </c>
      <c r="B67" s="732" t="s">
        <v>121</v>
      </c>
      <c r="C67" s="733"/>
      <c r="D67" s="733"/>
      <c r="E67" s="733"/>
      <c r="F67" s="734"/>
    </row>
    <row r="68" spans="1:6" ht="36">
      <c r="A68" s="103" t="s">
        <v>99</v>
      </c>
      <c r="B68" s="104" t="s">
        <v>72</v>
      </c>
      <c r="C68" s="105" t="s">
        <v>73</v>
      </c>
      <c r="D68" s="106" t="s">
        <v>74</v>
      </c>
      <c r="E68" s="107" t="s">
        <v>75</v>
      </c>
      <c r="F68" s="107" t="s">
        <v>76</v>
      </c>
    </row>
    <row r="69" spans="1:6" ht="18">
      <c r="A69" s="720" t="s">
        <v>83</v>
      </c>
      <c r="B69" s="722"/>
      <c r="C69" s="722"/>
      <c r="D69" s="722"/>
      <c r="E69" s="722"/>
      <c r="F69" s="723"/>
    </row>
    <row r="70" spans="1:6" ht="18">
      <c r="A70" s="126">
        <v>29</v>
      </c>
      <c r="B70" s="127" t="s">
        <v>122</v>
      </c>
      <c r="C70" s="110" t="s">
        <v>54</v>
      </c>
      <c r="D70" s="111">
        <v>1.1</v>
      </c>
      <c r="E70" s="112">
        <v>3.25</v>
      </c>
      <c r="F70" s="112">
        <f>D70*E70</f>
        <v>3.575</v>
      </c>
    </row>
    <row r="71" spans="1:6" ht="18">
      <c r="A71" s="110">
        <v>337</v>
      </c>
      <c r="B71" s="127" t="s">
        <v>104</v>
      </c>
      <c r="C71" s="110" t="s">
        <v>54</v>
      </c>
      <c r="D71" s="111">
        <v>0.03</v>
      </c>
      <c r="E71" s="112">
        <v>9</v>
      </c>
      <c r="F71" s="112">
        <f>D71*E71</f>
        <v>0.27</v>
      </c>
    </row>
    <row r="72" spans="1:6" ht="18">
      <c r="A72" s="720" t="s">
        <v>103</v>
      </c>
      <c r="B72" s="722"/>
      <c r="C72" s="722"/>
      <c r="D72" s="722"/>
      <c r="E72" s="722"/>
      <c r="F72" s="723"/>
    </row>
    <row r="73" spans="1:6" ht="36">
      <c r="A73" s="141">
        <v>88238</v>
      </c>
      <c r="B73" s="109" t="s">
        <v>118</v>
      </c>
      <c r="C73" s="110" t="s">
        <v>88</v>
      </c>
      <c r="D73" s="111">
        <v>0.07</v>
      </c>
      <c r="E73" s="112">
        <v>13.42</v>
      </c>
      <c r="F73" s="112">
        <f>D73*E73</f>
        <v>0.9394000000000001</v>
      </c>
    </row>
    <row r="74" spans="1:6" ht="18">
      <c r="A74" s="118">
        <v>88245</v>
      </c>
      <c r="B74" s="109" t="s">
        <v>119</v>
      </c>
      <c r="C74" s="110" t="s">
        <v>88</v>
      </c>
      <c r="D74" s="138">
        <v>0.07</v>
      </c>
      <c r="E74" s="140">
        <v>16.35</v>
      </c>
      <c r="F74" s="112">
        <f>D74*E74</f>
        <v>1.1445000000000003</v>
      </c>
    </row>
    <row r="75" spans="1:6" ht="18">
      <c r="A75" s="727"/>
      <c r="B75" s="728"/>
      <c r="C75" s="728"/>
      <c r="D75" s="728"/>
      <c r="E75" s="728"/>
      <c r="F75" s="729"/>
    </row>
    <row r="76" spans="1:6" ht="18">
      <c r="A76" s="689" t="s">
        <v>81</v>
      </c>
      <c r="B76" s="689"/>
      <c r="C76" s="114"/>
      <c r="D76" s="115"/>
      <c r="E76" s="116"/>
      <c r="F76" s="116">
        <f>SUM(F70:F71,F73:F74)</f>
        <v>5.9289000000000005</v>
      </c>
    </row>
    <row r="77" spans="1:6" ht="18">
      <c r="A77" s="117"/>
      <c r="B77" s="117"/>
      <c r="C77" s="117"/>
      <c r="D77" s="117"/>
      <c r="E77" s="117"/>
      <c r="F77" s="117"/>
    </row>
    <row r="78" spans="1:6" ht="36">
      <c r="A78" s="102" t="s">
        <v>123</v>
      </c>
      <c r="B78" s="732" t="s">
        <v>124</v>
      </c>
      <c r="C78" s="733"/>
      <c r="D78" s="733"/>
      <c r="E78" s="733"/>
      <c r="F78" s="734"/>
    </row>
    <row r="79" spans="1:6" ht="36">
      <c r="A79" s="103" t="s">
        <v>99</v>
      </c>
      <c r="B79" s="104" t="s">
        <v>72</v>
      </c>
      <c r="C79" s="105" t="s">
        <v>73</v>
      </c>
      <c r="D79" s="106" t="s">
        <v>74</v>
      </c>
      <c r="E79" s="107" t="s">
        <v>75</v>
      </c>
      <c r="F79" s="107" t="s">
        <v>76</v>
      </c>
    </row>
    <row r="80" spans="1:6" ht="18">
      <c r="A80" s="720" t="s">
        <v>102</v>
      </c>
      <c r="B80" s="722"/>
      <c r="C80" s="722"/>
      <c r="D80" s="722"/>
      <c r="E80" s="722"/>
      <c r="F80" s="723"/>
    </row>
    <row r="81" spans="1:6" ht="36">
      <c r="A81" s="110">
        <v>10485</v>
      </c>
      <c r="B81" s="142" t="s">
        <v>125</v>
      </c>
      <c r="C81" s="110" t="s">
        <v>88</v>
      </c>
      <c r="D81" s="111">
        <v>0.3</v>
      </c>
      <c r="E81" s="112">
        <v>1.07</v>
      </c>
      <c r="F81" s="112">
        <f>ROUNDUP((D81*E81),2)</f>
        <v>0.33</v>
      </c>
    </row>
    <row r="82" spans="1:6" ht="18">
      <c r="A82" s="720" t="s">
        <v>103</v>
      </c>
      <c r="B82" s="722"/>
      <c r="C82" s="722"/>
      <c r="D82" s="722"/>
      <c r="E82" s="722"/>
      <c r="F82" s="723"/>
    </row>
    <row r="83" spans="1:6" ht="18">
      <c r="A83" s="118">
        <v>88309</v>
      </c>
      <c r="B83" s="119" t="s">
        <v>94</v>
      </c>
      <c r="C83" s="110" t="s">
        <v>88</v>
      </c>
      <c r="D83" s="111">
        <v>1.65</v>
      </c>
      <c r="E83" s="112">
        <v>16.44</v>
      </c>
      <c r="F83" s="112">
        <f>ROUNDUP((D83*E83),2)</f>
        <v>27.130000000000003</v>
      </c>
    </row>
    <row r="84" spans="1:6" ht="18">
      <c r="A84" s="118">
        <v>88316</v>
      </c>
      <c r="B84" s="109" t="s">
        <v>95</v>
      </c>
      <c r="C84" s="137" t="s">
        <v>88</v>
      </c>
      <c r="D84" s="138">
        <v>4.5</v>
      </c>
      <c r="E84" s="140">
        <v>13.03</v>
      </c>
      <c r="F84" s="112">
        <f>ROUNDUP((D84*E84),2)</f>
        <v>58.64</v>
      </c>
    </row>
    <row r="85" spans="1:6" ht="18">
      <c r="A85" s="727"/>
      <c r="B85" s="728"/>
      <c r="C85" s="728"/>
      <c r="D85" s="728"/>
      <c r="E85" s="728"/>
      <c r="F85" s="729"/>
    </row>
    <row r="86" spans="1:6" ht="18">
      <c r="A86" s="689" t="s">
        <v>81</v>
      </c>
      <c r="B86" s="689"/>
      <c r="C86" s="114"/>
      <c r="D86" s="115"/>
      <c r="E86" s="116"/>
      <c r="F86" s="116">
        <f>SUM(F81,F83:F84)</f>
        <v>86.1</v>
      </c>
    </row>
    <row r="87" spans="1:6" ht="18">
      <c r="A87" s="117"/>
      <c r="B87" s="117"/>
      <c r="C87" s="117"/>
      <c r="D87" s="117"/>
      <c r="E87" s="117"/>
      <c r="F87" s="117"/>
    </row>
    <row r="88" spans="1:6" ht="36">
      <c r="A88" s="102" t="s">
        <v>126</v>
      </c>
      <c r="B88" s="732" t="s">
        <v>127</v>
      </c>
      <c r="C88" s="733"/>
      <c r="D88" s="733"/>
      <c r="E88" s="733"/>
      <c r="F88" s="734"/>
    </row>
    <row r="89" spans="1:6" ht="36">
      <c r="A89" s="103" t="s">
        <v>99</v>
      </c>
      <c r="B89" s="104" t="s">
        <v>72</v>
      </c>
      <c r="C89" s="105" t="s">
        <v>73</v>
      </c>
      <c r="D89" s="106" t="s">
        <v>74</v>
      </c>
      <c r="E89" s="107" t="s">
        <v>75</v>
      </c>
      <c r="F89" s="107" t="s">
        <v>76</v>
      </c>
    </row>
    <row r="90" spans="1:6" ht="18">
      <c r="A90" s="720" t="s">
        <v>83</v>
      </c>
      <c r="B90" s="722"/>
      <c r="C90" s="722"/>
      <c r="D90" s="722"/>
      <c r="E90" s="722"/>
      <c r="F90" s="723"/>
    </row>
    <row r="91" spans="1:6" ht="36">
      <c r="A91" s="126">
        <v>1347</v>
      </c>
      <c r="B91" s="127" t="s">
        <v>128</v>
      </c>
      <c r="C91" s="110" t="s">
        <v>4</v>
      </c>
      <c r="D91" s="143">
        <v>0.19</v>
      </c>
      <c r="E91" s="112">
        <v>28.06</v>
      </c>
      <c r="F91" s="112">
        <f aca="true" t="shared" si="0" ref="F91:F96">D91*E91</f>
        <v>5.3313999999999995</v>
      </c>
    </row>
    <row r="92" spans="1:6" ht="36">
      <c r="A92" s="126">
        <v>2692</v>
      </c>
      <c r="B92" s="127" t="s">
        <v>129</v>
      </c>
      <c r="C92" s="110" t="s">
        <v>130</v>
      </c>
      <c r="D92" s="143">
        <v>0.006</v>
      </c>
      <c r="E92" s="112">
        <v>4.56</v>
      </c>
      <c r="F92" s="112">
        <f t="shared" si="0"/>
        <v>0.02736</v>
      </c>
    </row>
    <row r="93" spans="1:6" ht="36">
      <c r="A93" s="110">
        <v>4491</v>
      </c>
      <c r="B93" s="127" t="s">
        <v>131</v>
      </c>
      <c r="C93" s="110" t="s">
        <v>4</v>
      </c>
      <c r="D93" s="143">
        <v>0.48</v>
      </c>
      <c r="E93" s="112">
        <v>8.32</v>
      </c>
      <c r="F93" s="112">
        <f t="shared" si="0"/>
        <v>3.9936</v>
      </c>
    </row>
    <row r="94" spans="1:6" ht="36">
      <c r="A94" s="110">
        <v>4506</v>
      </c>
      <c r="B94" s="127" t="s">
        <v>420</v>
      </c>
      <c r="C94" s="110" t="s">
        <v>26</v>
      </c>
      <c r="D94" s="143">
        <v>0.25</v>
      </c>
      <c r="E94" s="112">
        <v>5.16</v>
      </c>
      <c r="F94" s="112">
        <f t="shared" si="0"/>
        <v>1.29</v>
      </c>
    </row>
    <row r="95" spans="1:6" ht="36">
      <c r="A95" s="110">
        <v>6189</v>
      </c>
      <c r="B95" s="127" t="s">
        <v>133</v>
      </c>
      <c r="C95" s="110" t="s">
        <v>26</v>
      </c>
      <c r="D95" s="143">
        <v>0.14</v>
      </c>
      <c r="E95" s="112">
        <v>7.29</v>
      </c>
      <c r="F95" s="112">
        <f t="shared" si="0"/>
        <v>1.0206000000000002</v>
      </c>
    </row>
    <row r="96" spans="1:6" ht="18">
      <c r="A96" s="110">
        <v>5068</v>
      </c>
      <c r="B96" s="127" t="s">
        <v>134</v>
      </c>
      <c r="C96" s="110" t="s">
        <v>54</v>
      </c>
      <c r="D96" s="143">
        <v>0.26</v>
      </c>
      <c r="E96" s="112">
        <v>7.53</v>
      </c>
      <c r="F96" s="112">
        <f t="shared" si="0"/>
        <v>1.9578000000000002</v>
      </c>
    </row>
    <row r="97" spans="1:6" ht="18">
      <c r="A97" s="720" t="s">
        <v>103</v>
      </c>
      <c r="B97" s="722"/>
      <c r="C97" s="722"/>
      <c r="D97" s="722"/>
      <c r="E97" s="722"/>
      <c r="F97" s="723"/>
    </row>
    <row r="98" spans="1:6" ht="36">
      <c r="A98" s="126">
        <v>88262</v>
      </c>
      <c r="B98" s="144" t="s">
        <v>93</v>
      </c>
      <c r="C98" s="110" t="s">
        <v>88</v>
      </c>
      <c r="D98" s="143">
        <v>0.66</v>
      </c>
      <c r="E98" s="112">
        <v>16.35</v>
      </c>
      <c r="F98" s="112">
        <f>D98*E98</f>
        <v>10.791000000000002</v>
      </c>
    </row>
    <row r="99" spans="1:6" ht="36">
      <c r="A99" s="118">
        <v>88239</v>
      </c>
      <c r="B99" s="109" t="s">
        <v>135</v>
      </c>
      <c r="C99" s="137" t="s">
        <v>88</v>
      </c>
      <c r="D99" s="145">
        <v>0.16</v>
      </c>
      <c r="E99" s="140">
        <v>13.44</v>
      </c>
      <c r="F99" s="112">
        <f>D99*E99</f>
        <v>2.1504</v>
      </c>
    </row>
    <row r="100" spans="1:6" ht="18">
      <c r="A100" s="727"/>
      <c r="B100" s="728"/>
      <c r="C100" s="728"/>
      <c r="D100" s="728"/>
      <c r="E100" s="728"/>
      <c r="F100" s="729"/>
    </row>
    <row r="101" spans="1:6" ht="18">
      <c r="A101" s="689" t="s">
        <v>81</v>
      </c>
      <c r="B101" s="689"/>
      <c r="C101" s="114"/>
      <c r="D101" s="115"/>
      <c r="E101" s="116"/>
      <c r="F101" s="116">
        <f>SUM(F91:F96,F98:F99)</f>
        <v>26.562160000000002</v>
      </c>
    </row>
    <row r="102" spans="1:6" ht="18">
      <c r="A102" s="117"/>
      <c r="B102" s="117"/>
      <c r="C102" s="117"/>
      <c r="D102" s="117"/>
      <c r="E102" s="117"/>
      <c r="F102" s="117"/>
    </row>
    <row r="103" spans="1:6" ht="36">
      <c r="A103" s="102" t="s">
        <v>136</v>
      </c>
      <c r="B103" s="732" t="s">
        <v>137</v>
      </c>
      <c r="C103" s="733"/>
      <c r="D103" s="733"/>
      <c r="E103" s="733"/>
      <c r="F103" s="734"/>
    </row>
    <row r="104" spans="1:6" ht="36">
      <c r="A104" s="103" t="s">
        <v>99</v>
      </c>
      <c r="B104" s="104" t="s">
        <v>72</v>
      </c>
      <c r="C104" s="105" t="s">
        <v>73</v>
      </c>
      <c r="D104" s="106" t="s">
        <v>74</v>
      </c>
      <c r="E104" s="107" t="s">
        <v>75</v>
      </c>
      <c r="F104" s="107" t="s">
        <v>76</v>
      </c>
    </row>
    <row r="105" spans="1:6" ht="18">
      <c r="A105" s="118">
        <v>88316</v>
      </c>
      <c r="B105" s="109" t="s">
        <v>95</v>
      </c>
      <c r="C105" s="137" t="s">
        <v>88</v>
      </c>
      <c r="D105" s="138">
        <v>2.4</v>
      </c>
      <c r="E105" s="140">
        <v>13.03</v>
      </c>
      <c r="F105" s="112">
        <f>ROUNDUP((D105*E105),2)</f>
        <v>31.28</v>
      </c>
    </row>
    <row r="106" spans="1:6" ht="18">
      <c r="A106" s="727"/>
      <c r="B106" s="728"/>
      <c r="C106" s="728"/>
      <c r="D106" s="728"/>
      <c r="E106" s="728"/>
      <c r="F106" s="729"/>
    </row>
    <row r="107" spans="1:6" ht="18">
      <c r="A107" s="689" t="s">
        <v>81</v>
      </c>
      <c r="B107" s="689"/>
      <c r="C107" s="114"/>
      <c r="D107" s="115"/>
      <c r="E107" s="116"/>
      <c r="F107" s="116">
        <f>SUM(F105:F105)</f>
        <v>31.28</v>
      </c>
    </row>
    <row r="108" spans="1:6" ht="18">
      <c r="A108" s="117"/>
      <c r="B108" s="117"/>
      <c r="C108" s="117"/>
      <c r="D108" s="117"/>
      <c r="E108" s="117"/>
      <c r="F108" s="117"/>
    </row>
    <row r="109" spans="1:6" ht="18">
      <c r="A109" s="624" t="s">
        <v>683</v>
      </c>
      <c r="B109" s="687" t="s">
        <v>969</v>
      </c>
      <c r="C109" s="685"/>
      <c r="D109" s="685"/>
      <c r="E109" s="685"/>
      <c r="F109" s="685"/>
    </row>
    <row r="110" spans="1:6" ht="36">
      <c r="A110" s="103" t="s">
        <v>99</v>
      </c>
      <c r="B110" s="105" t="s">
        <v>72</v>
      </c>
      <c r="C110" s="105" t="s">
        <v>73</v>
      </c>
      <c r="D110" s="106" t="s">
        <v>74</v>
      </c>
      <c r="E110" s="107" t="s">
        <v>75</v>
      </c>
      <c r="F110" s="107" t="s">
        <v>76</v>
      </c>
    </row>
    <row r="111" spans="1:6" ht="18">
      <c r="A111" s="685" t="s">
        <v>138</v>
      </c>
      <c r="B111" s="685"/>
      <c r="C111" s="685"/>
      <c r="D111" s="685"/>
      <c r="E111" s="685"/>
      <c r="F111" s="685"/>
    </row>
    <row r="112" spans="1:6" ht="18">
      <c r="A112" s="110" t="s">
        <v>139</v>
      </c>
      <c r="B112" s="146" t="s">
        <v>140</v>
      </c>
      <c r="C112" s="110" t="s">
        <v>7</v>
      </c>
      <c r="D112" s="143">
        <v>1</v>
      </c>
      <c r="E112" s="112">
        <f>F54</f>
        <v>382.0235359999999</v>
      </c>
      <c r="F112" s="112">
        <f aca="true" t="shared" si="1" ref="F112:F117">ROUNDUP((D112*E112),2)</f>
        <v>382.03</v>
      </c>
    </row>
    <row r="113" spans="1:6" ht="54">
      <c r="A113" s="110" t="s">
        <v>141</v>
      </c>
      <c r="B113" s="127" t="s">
        <v>142</v>
      </c>
      <c r="C113" s="110" t="s">
        <v>54</v>
      </c>
      <c r="D113" s="143">
        <f>0.2*80</f>
        <v>16</v>
      </c>
      <c r="E113" s="112">
        <f>F65</f>
        <v>6.655000000000001</v>
      </c>
      <c r="F113" s="112">
        <f t="shared" si="1"/>
        <v>106.48</v>
      </c>
    </row>
    <row r="114" spans="1:6" ht="54">
      <c r="A114" s="110" t="s">
        <v>143</v>
      </c>
      <c r="B114" s="127" t="s">
        <v>144</v>
      </c>
      <c r="C114" s="110" t="s">
        <v>54</v>
      </c>
      <c r="D114" s="143">
        <f>0.8*80</f>
        <v>64</v>
      </c>
      <c r="E114" s="112">
        <f>F76</f>
        <v>5.9289000000000005</v>
      </c>
      <c r="F114" s="112">
        <f t="shared" si="1"/>
        <v>379.45</v>
      </c>
    </row>
    <row r="115" spans="1:6" ht="18">
      <c r="A115" s="110" t="s">
        <v>145</v>
      </c>
      <c r="B115" s="146" t="s">
        <v>146</v>
      </c>
      <c r="C115" s="110" t="s">
        <v>7</v>
      </c>
      <c r="D115" s="143">
        <v>1</v>
      </c>
      <c r="E115" s="112">
        <f>F86</f>
        <v>86.1</v>
      </c>
      <c r="F115" s="112">
        <f t="shared" si="1"/>
        <v>86.1</v>
      </c>
    </row>
    <row r="116" spans="1:6" ht="90">
      <c r="A116" s="110">
        <v>84220</v>
      </c>
      <c r="B116" s="127" t="s">
        <v>147</v>
      </c>
      <c r="C116" s="110" t="s">
        <v>4</v>
      </c>
      <c r="D116" s="143">
        <v>12</v>
      </c>
      <c r="E116" s="112">
        <f>F101</f>
        <v>26.562160000000002</v>
      </c>
      <c r="F116" s="112">
        <f t="shared" si="1"/>
        <v>318.75</v>
      </c>
    </row>
    <row r="117" spans="1:6" ht="18">
      <c r="A117" s="110" t="s">
        <v>148</v>
      </c>
      <c r="B117" s="146" t="s">
        <v>149</v>
      </c>
      <c r="C117" s="110" t="s">
        <v>7</v>
      </c>
      <c r="D117" s="143">
        <v>1</v>
      </c>
      <c r="E117" s="112">
        <f>F107</f>
        <v>31.28</v>
      </c>
      <c r="F117" s="112">
        <f t="shared" si="1"/>
        <v>31.28</v>
      </c>
    </row>
    <row r="118" spans="1:6" ht="18">
      <c r="A118" s="681"/>
      <c r="B118" s="681"/>
      <c r="C118" s="681"/>
      <c r="D118" s="681"/>
      <c r="E118" s="681"/>
      <c r="F118" s="681"/>
    </row>
    <row r="119" spans="1:6" ht="18">
      <c r="A119" s="682" t="s">
        <v>421</v>
      </c>
      <c r="B119" s="682"/>
      <c r="C119" s="110" t="s">
        <v>80</v>
      </c>
      <c r="D119" s="147"/>
      <c r="E119" s="112">
        <f>SUM(F112:F117)</f>
        <v>1304.09</v>
      </c>
      <c r="F119" s="112"/>
    </row>
    <row r="120" spans="1:6" ht="18">
      <c r="A120" s="689" t="s">
        <v>81</v>
      </c>
      <c r="B120" s="689"/>
      <c r="C120" s="114"/>
      <c r="D120" s="115"/>
      <c r="E120" s="116"/>
      <c r="F120" s="116">
        <f>E119+F119</f>
        <v>1304.09</v>
      </c>
    </row>
    <row r="121" spans="1:6" ht="18">
      <c r="A121" s="120"/>
      <c r="B121" s="121"/>
      <c r="C121" s="122"/>
      <c r="D121" s="123"/>
      <c r="E121" s="124"/>
      <c r="F121" s="125"/>
    </row>
    <row r="122" spans="1:6" ht="36">
      <c r="A122" s="102" t="s">
        <v>136</v>
      </c>
      <c r="B122" s="732" t="s">
        <v>137</v>
      </c>
      <c r="C122" s="733"/>
      <c r="D122" s="733"/>
      <c r="E122" s="733"/>
      <c r="F122" s="734"/>
    </row>
    <row r="123" spans="1:6" ht="36">
      <c r="A123" s="103" t="s">
        <v>99</v>
      </c>
      <c r="B123" s="104" t="s">
        <v>72</v>
      </c>
      <c r="C123" s="105" t="s">
        <v>73</v>
      </c>
      <c r="D123" s="106" t="s">
        <v>74</v>
      </c>
      <c r="E123" s="107" t="s">
        <v>75</v>
      </c>
      <c r="F123" s="107" t="s">
        <v>76</v>
      </c>
    </row>
    <row r="124" spans="1:6" ht="18">
      <c r="A124" s="775" t="s">
        <v>103</v>
      </c>
      <c r="B124" s="776"/>
      <c r="C124" s="776"/>
      <c r="D124" s="776"/>
      <c r="E124" s="776"/>
      <c r="F124" s="777"/>
    </row>
    <row r="125" spans="1:6" ht="18">
      <c r="A125" s="118">
        <v>88316</v>
      </c>
      <c r="B125" s="109" t="s">
        <v>95</v>
      </c>
      <c r="C125" s="137" t="s">
        <v>88</v>
      </c>
      <c r="D125" s="138">
        <v>2.4</v>
      </c>
      <c r="E125" s="112">
        <v>9.68</v>
      </c>
      <c r="F125" s="112">
        <f>ROUNDUP((D125*E125),2)</f>
        <v>23.240000000000002</v>
      </c>
    </row>
    <row r="126" spans="1:6" ht="18">
      <c r="A126" s="727"/>
      <c r="B126" s="728"/>
      <c r="C126" s="728"/>
      <c r="D126" s="728"/>
      <c r="E126" s="728"/>
      <c r="F126" s="729"/>
    </row>
    <row r="127" spans="1:6" ht="18">
      <c r="A127" s="689" t="s">
        <v>81</v>
      </c>
      <c r="B127" s="689"/>
      <c r="C127" s="114"/>
      <c r="D127" s="115"/>
      <c r="E127" s="116"/>
      <c r="F127" s="116">
        <f>SUM(F125:F125)</f>
        <v>23.240000000000002</v>
      </c>
    </row>
    <row r="128" spans="1:6" ht="18">
      <c r="A128" s="117"/>
      <c r="B128" s="117"/>
      <c r="C128" s="117"/>
      <c r="D128" s="117"/>
      <c r="E128" s="117"/>
      <c r="F128" s="117"/>
    </row>
    <row r="129" spans="1:6" ht="36">
      <c r="A129" s="102" t="s">
        <v>123</v>
      </c>
      <c r="B129" s="732" t="s">
        <v>124</v>
      </c>
      <c r="C129" s="733"/>
      <c r="D129" s="733"/>
      <c r="E129" s="733"/>
      <c r="F129" s="734"/>
    </row>
    <row r="130" spans="1:6" ht="36">
      <c r="A130" s="103" t="s">
        <v>99</v>
      </c>
      <c r="B130" s="104" t="s">
        <v>72</v>
      </c>
      <c r="C130" s="105" t="s">
        <v>73</v>
      </c>
      <c r="D130" s="106" t="s">
        <v>74</v>
      </c>
      <c r="E130" s="107" t="s">
        <v>75</v>
      </c>
      <c r="F130" s="107" t="s">
        <v>76</v>
      </c>
    </row>
    <row r="131" spans="1:6" ht="18">
      <c r="A131" s="720" t="s">
        <v>102</v>
      </c>
      <c r="B131" s="722"/>
      <c r="C131" s="722"/>
      <c r="D131" s="722"/>
      <c r="E131" s="722"/>
      <c r="F131" s="723"/>
    </row>
    <row r="132" spans="1:6" ht="36">
      <c r="A132" s="110">
        <v>10485</v>
      </c>
      <c r="B132" s="142" t="s">
        <v>125</v>
      </c>
      <c r="C132" s="110" t="s">
        <v>88</v>
      </c>
      <c r="D132" s="111">
        <v>0.3</v>
      </c>
      <c r="E132" s="112">
        <v>1.07</v>
      </c>
      <c r="F132" s="112">
        <f>ROUNDUP((D132*E132),2)</f>
        <v>0.33</v>
      </c>
    </row>
    <row r="133" spans="1:6" ht="18">
      <c r="A133" s="720" t="s">
        <v>103</v>
      </c>
      <c r="B133" s="722"/>
      <c r="C133" s="722"/>
      <c r="D133" s="722"/>
      <c r="E133" s="722"/>
      <c r="F133" s="723"/>
    </row>
    <row r="134" spans="1:6" ht="18">
      <c r="A134" s="118">
        <v>88309</v>
      </c>
      <c r="B134" s="119" t="s">
        <v>94</v>
      </c>
      <c r="C134" s="110" t="s">
        <v>88</v>
      </c>
      <c r="D134" s="111">
        <v>1.65</v>
      </c>
      <c r="E134" s="112">
        <v>12.51</v>
      </c>
      <c r="F134" s="112">
        <f>ROUNDUP((D134*E134),2)</f>
        <v>20.650000000000002</v>
      </c>
    </row>
    <row r="135" spans="1:6" ht="18">
      <c r="A135" s="118">
        <v>88316</v>
      </c>
      <c r="B135" s="109" t="s">
        <v>95</v>
      </c>
      <c r="C135" s="137" t="s">
        <v>88</v>
      </c>
      <c r="D135" s="138">
        <v>4.5</v>
      </c>
      <c r="E135" s="112">
        <v>9.68</v>
      </c>
      <c r="F135" s="112">
        <f>ROUNDUP((D135*E135),2)</f>
        <v>43.56</v>
      </c>
    </row>
    <row r="136" spans="1:6" ht="18">
      <c r="A136" s="727"/>
      <c r="B136" s="728"/>
      <c r="C136" s="728"/>
      <c r="D136" s="728"/>
      <c r="E136" s="728"/>
      <c r="F136" s="729"/>
    </row>
    <row r="137" spans="1:6" ht="18">
      <c r="A137" s="689" t="s">
        <v>81</v>
      </c>
      <c r="B137" s="689"/>
      <c r="C137" s="114"/>
      <c r="D137" s="115"/>
      <c r="E137" s="116"/>
      <c r="F137" s="116">
        <f>SUM(F132,F134:F135)</f>
        <v>64.54</v>
      </c>
    </row>
    <row r="138" spans="1:6" ht="18">
      <c r="A138" s="117"/>
      <c r="B138" s="117"/>
      <c r="C138" s="117"/>
      <c r="D138" s="117"/>
      <c r="E138" s="117"/>
      <c r="F138" s="117"/>
    </row>
    <row r="139" spans="1:6" ht="18">
      <c r="A139" s="102"/>
      <c r="B139" s="732" t="s">
        <v>150</v>
      </c>
      <c r="C139" s="733"/>
      <c r="D139" s="733"/>
      <c r="E139" s="733"/>
      <c r="F139" s="734"/>
    </row>
    <row r="140" spans="1:6" ht="36">
      <c r="A140" s="103" t="s">
        <v>99</v>
      </c>
      <c r="B140" s="104" t="s">
        <v>72</v>
      </c>
      <c r="C140" s="105" t="s">
        <v>73</v>
      </c>
      <c r="D140" s="106" t="s">
        <v>74</v>
      </c>
      <c r="E140" s="107" t="s">
        <v>75</v>
      </c>
      <c r="F140" s="107" t="s">
        <v>76</v>
      </c>
    </row>
    <row r="141" spans="1:6" ht="18">
      <c r="A141" s="720" t="s">
        <v>83</v>
      </c>
      <c r="B141" s="722"/>
      <c r="C141" s="722"/>
      <c r="D141" s="722"/>
      <c r="E141" s="722"/>
      <c r="F141" s="723"/>
    </row>
    <row r="142" spans="1:6" ht="18">
      <c r="A142" s="148">
        <v>370</v>
      </c>
      <c r="B142" s="149" t="s">
        <v>100</v>
      </c>
      <c r="C142" s="150" t="s">
        <v>7</v>
      </c>
      <c r="D142" s="151">
        <v>0.8669</v>
      </c>
      <c r="E142" s="152">
        <v>75</v>
      </c>
      <c r="F142" s="152">
        <f>D142*E142</f>
        <v>65.0175</v>
      </c>
    </row>
    <row r="143" spans="1:6" ht="18">
      <c r="A143" s="153">
        <v>1379</v>
      </c>
      <c r="B143" s="149" t="s">
        <v>90</v>
      </c>
      <c r="C143" s="150" t="s">
        <v>54</v>
      </c>
      <c r="D143" s="154">
        <v>349</v>
      </c>
      <c r="E143" s="152">
        <v>0.56</v>
      </c>
      <c r="F143" s="152">
        <f>ROUNDUP((D143*E143),2)</f>
        <v>195.44</v>
      </c>
    </row>
    <row r="144" spans="1:6" ht="36">
      <c r="A144" s="148">
        <v>4718</v>
      </c>
      <c r="B144" s="155" t="s">
        <v>101</v>
      </c>
      <c r="C144" s="150" t="s">
        <v>7</v>
      </c>
      <c r="D144" s="151">
        <v>0.209</v>
      </c>
      <c r="E144" s="152">
        <v>66.5</v>
      </c>
      <c r="F144" s="152">
        <f>ROUNDUP((D144*E144),2)</f>
        <v>13.9</v>
      </c>
    </row>
    <row r="145" spans="1:6" ht="18">
      <c r="A145" s="153" t="s">
        <v>145</v>
      </c>
      <c r="B145" s="156" t="s">
        <v>146</v>
      </c>
      <c r="C145" s="150" t="s">
        <v>7</v>
      </c>
      <c r="D145" s="151">
        <v>1</v>
      </c>
      <c r="E145" s="152">
        <f>F137</f>
        <v>64.54</v>
      </c>
      <c r="F145" s="152">
        <v>67.14</v>
      </c>
    </row>
    <row r="146" spans="1:6" ht="18">
      <c r="A146" s="153" t="s">
        <v>148</v>
      </c>
      <c r="B146" s="156" t="s">
        <v>149</v>
      </c>
      <c r="C146" s="150" t="s">
        <v>7</v>
      </c>
      <c r="D146" s="151">
        <v>1</v>
      </c>
      <c r="E146" s="152">
        <v>23.23</v>
      </c>
      <c r="F146" s="152">
        <f>ROUNDUP((D146*E146),2)</f>
        <v>23.23</v>
      </c>
    </row>
    <row r="147" spans="1:6" ht="54">
      <c r="A147" s="150">
        <v>10533</v>
      </c>
      <c r="B147" s="155" t="s">
        <v>113</v>
      </c>
      <c r="C147" s="150" t="s">
        <v>88</v>
      </c>
      <c r="D147" s="151">
        <v>1.8336</v>
      </c>
      <c r="E147" s="152">
        <v>2.7</v>
      </c>
      <c r="F147" s="152">
        <f>ROUNDUP((D147*E147),2)</f>
        <v>4.96</v>
      </c>
    </row>
    <row r="148" spans="1:6" ht="18">
      <c r="A148" s="772" t="s">
        <v>103</v>
      </c>
      <c r="B148" s="773"/>
      <c r="C148" s="773"/>
      <c r="D148" s="773"/>
      <c r="E148" s="773"/>
      <c r="F148" s="774"/>
    </row>
    <row r="149" spans="1:6" ht="36">
      <c r="A149" s="153">
        <v>88297</v>
      </c>
      <c r="B149" s="157" t="s">
        <v>114</v>
      </c>
      <c r="C149" s="158" t="s">
        <v>88</v>
      </c>
      <c r="D149" s="159">
        <v>1.8336</v>
      </c>
      <c r="E149" s="139">
        <v>17.01</v>
      </c>
      <c r="F149" s="152">
        <f>D149*E149</f>
        <v>31.189536</v>
      </c>
    </row>
    <row r="150" spans="1:6" ht="18">
      <c r="A150" s="153">
        <v>88316</v>
      </c>
      <c r="B150" s="157" t="s">
        <v>95</v>
      </c>
      <c r="C150" s="158" t="s">
        <v>88</v>
      </c>
      <c r="D150" s="159">
        <v>3.2378</v>
      </c>
      <c r="E150" s="112">
        <v>13.03</v>
      </c>
      <c r="F150" s="152">
        <f>ROUNDUP((D150*E150),2)</f>
        <v>42.19</v>
      </c>
    </row>
    <row r="151" spans="1:6" ht="18">
      <c r="A151" s="730" t="str">
        <f>"BDI ("&amp;$H$2&amp;"%)"</f>
        <v>BDI (%)</v>
      </c>
      <c r="B151" s="731"/>
      <c r="C151" s="110" t="s">
        <v>80</v>
      </c>
      <c r="D151" s="113">
        <f>$H$2</f>
        <v>0</v>
      </c>
      <c r="E151" s="112">
        <f>SUM(F142:F147,F149:F150)</f>
        <v>443.0670359999999</v>
      </c>
      <c r="F151" s="112">
        <f>D151*E151/100</f>
        <v>0</v>
      </c>
    </row>
    <row r="152" spans="1:6" ht="18">
      <c r="A152" s="689" t="s">
        <v>81</v>
      </c>
      <c r="B152" s="689"/>
      <c r="C152" s="114"/>
      <c r="D152" s="115"/>
      <c r="E152" s="116"/>
      <c r="F152" s="116">
        <f>E151+F151</f>
        <v>443.0670359999999</v>
      </c>
    </row>
    <row r="153" spans="1:6" ht="18">
      <c r="A153" s="117"/>
      <c r="B153" s="117"/>
      <c r="C153" s="117"/>
      <c r="D153" s="117"/>
      <c r="E153" s="117"/>
      <c r="F153" s="117"/>
    </row>
    <row r="154" spans="1:6" ht="18">
      <c r="A154" s="102" t="s">
        <v>151</v>
      </c>
      <c r="B154" s="732" t="s">
        <v>152</v>
      </c>
      <c r="C154" s="733"/>
      <c r="D154" s="733"/>
      <c r="E154" s="733"/>
      <c r="F154" s="734"/>
    </row>
    <row r="155" spans="1:6" ht="36">
      <c r="A155" s="103" t="s">
        <v>99</v>
      </c>
      <c r="B155" s="104" t="s">
        <v>58</v>
      </c>
      <c r="C155" s="105" t="s">
        <v>73</v>
      </c>
      <c r="D155" s="106" t="s">
        <v>74</v>
      </c>
      <c r="E155" s="107" t="s">
        <v>75</v>
      </c>
      <c r="F155" s="107" t="s">
        <v>76</v>
      </c>
    </row>
    <row r="156" spans="1:6" ht="18">
      <c r="A156" s="720" t="s">
        <v>83</v>
      </c>
      <c r="B156" s="721"/>
      <c r="C156" s="722"/>
      <c r="D156" s="722"/>
      <c r="E156" s="722"/>
      <c r="F156" s="723"/>
    </row>
    <row r="157" spans="1:6" ht="36">
      <c r="A157" s="118">
        <v>2692</v>
      </c>
      <c r="B157" s="160" t="s">
        <v>153</v>
      </c>
      <c r="C157" s="110" t="s">
        <v>130</v>
      </c>
      <c r="D157" s="111">
        <v>0.1</v>
      </c>
      <c r="E157" s="112">
        <v>4.56</v>
      </c>
      <c r="F157" s="112">
        <f>ROUNDUP((D157*E157),2)</f>
        <v>0.46</v>
      </c>
    </row>
    <row r="158" spans="1:6" ht="36">
      <c r="A158" s="118">
        <v>4491</v>
      </c>
      <c r="B158" s="160" t="s">
        <v>154</v>
      </c>
      <c r="C158" s="110" t="s">
        <v>26</v>
      </c>
      <c r="D158" s="111">
        <v>0.275</v>
      </c>
      <c r="E158" s="112">
        <v>8.32</v>
      </c>
      <c r="F158" s="112">
        <f>D158*E158</f>
        <v>2.2880000000000003</v>
      </c>
    </row>
    <row r="159" spans="1:6" ht="36">
      <c r="A159" s="118">
        <v>4502</v>
      </c>
      <c r="B159" s="160" t="s">
        <v>155</v>
      </c>
      <c r="C159" s="110" t="s">
        <v>26</v>
      </c>
      <c r="D159" s="111">
        <v>0.24</v>
      </c>
      <c r="E159" s="112">
        <v>2.92</v>
      </c>
      <c r="F159" s="112">
        <f>D159*E159</f>
        <v>0.7008</v>
      </c>
    </row>
    <row r="160" spans="1:6" ht="18">
      <c r="A160" s="118">
        <v>5061</v>
      </c>
      <c r="B160" s="161" t="s">
        <v>156</v>
      </c>
      <c r="C160" s="110" t="s">
        <v>54</v>
      </c>
      <c r="D160" s="111">
        <v>0.15</v>
      </c>
      <c r="E160" s="112">
        <v>7.67</v>
      </c>
      <c r="F160" s="112">
        <f>D160*E160</f>
        <v>1.1504999999999999</v>
      </c>
    </row>
    <row r="161" spans="1:6" ht="36">
      <c r="A161" s="118">
        <v>6189</v>
      </c>
      <c r="B161" s="160" t="s">
        <v>157</v>
      </c>
      <c r="C161" s="110" t="s">
        <v>26</v>
      </c>
      <c r="D161" s="111">
        <v>0.792</v>
      </c>
      <c r="E161" s="112">
        <v>7.29</v>
      </c>
      <c r="F161" s="112">
        <f>D161*E161</f>
        <v>5.773680000000001</v>
      </c>
    </row>
    <row r="162" spans="1:6" ht="18">
      <c r="A162" s="720" t="s">
        <v>103</v>
      </c>
      <c r="B162" s="782"/>
      <c r="C162" s="722"/>
      <c r="D162" s="722"/>
      <c r="E162" s="722"/>
      <c r="F162" s="723"/>
    </row>
    <row r="163" spans="1:6" ht="36">
      <c r="A163" s="162">
        <v>88239</v>
      </c>
      <c r="B163" s="160" t="s">
        <v>135</v>
      </c>
      <c r="C163" s="163" t="s">
        <v>88</v>
      </c>
      <c r="D163" s="111">
        <v>0.225</v>
      </c>
      <c r="E163" s="112">
        <v>10.13</v>
      </c>
      <c r="F163" s="112">
        <f>D163*E163</f>
        <v>2.27925</v>
      </c>
    </row>
    <row r="164" spans="1:6" ht="18">
      <c r="A164" s="118">
        <v>88262</v>
      </c>
      <c r="B164" s="161" t="s">
        <v>93</v>
      </c>
      <c r="C164" s="163" t="s">
        <v>88</v>
      </c>
      <c r="D164" s="164">
        <v>0.9</v>
      </c>
      <c r="E164" s="112">
        <v>12.51</v>
      </c>
      <c r="F164" s="112">
        <f>D164*E164</f>
        <v>11.259</v>
      </c>
    </row>
    <row r="165" spans="1:6" ht="18">
      <c r="A165" s="727"/>
      <c r="B165" s="783"/>
      <c r="C165" s="728"/>
      <c r="D165" s="728"/>
      <c r="E165" s="728"/>
      <c r="F165" s="729"/>
    </row>
    <row r="166" spans="1:6" ht="18">
      <c r="A166" s="730" t="str">
        <f>"BDI ("&amp;$H$2&amp;"%)"</f>
        <v>BDI (%)</v>
      </c>
      <c r="B166" s="731"/>
      <c r="C166" s="110" t="s">
        <v>80</v>
      </c>
      <c r="D166" s="113">
        <f>$H$2</f>
        <v>0</v>
      </c>
      <c r="E166" s="112">
        <f>SUM(F163:F164,F157:F161)</f>
        <v>23.911230000000003</v>
      </c>
      <c r="F166" s="112">
        <f>D166*E166/100</f>
        <v>0</v>
      </c>
    </row>
    <row r="167" spans="1:6" ht="18">
      <c r="A167" s="689" t="s">
        <v>81</v>
      </c>
      <c r="B167" s="689"/>
      <c r="C167" s="114"/>
      <c r="D167" s="115"/>
      <c r="E167" s="116"/>
      <c r="F167" s="116">
        <f>E166+F166</f>
        <v>23.911230000000003</v>
      </c>
    </row>
    <row r="168" spans="1:6" ht="18">
      <c r="A168" s="117"/>
      <c r="B168" s="117"/>
      <c r="C168" s="117"/>
      <c r="D168" s="117"/>
      <c r="E168" s="117"/>
      <c r="F168" s="117"/>
    </row>
    <row r="169" spans="1:6" ht="36">
      <c r="A169" s="102" t="s">
        <v>158</v>
      </c>
      <c r="B169" s="732" t="s">
        <v>159</v>
      </c>
      <c r="C169" s="733"/>
      <c r="D169" s="733"/>
      <c r="E169" s="733"/>
      <c r="F169" s="734"/>
    </row>
    <row r="170" spans="1:6" ht="36">
      <c r="A170" s="103" t="s">
        <v>99</v>
      </c>
      <c r="B170" s="104" t="s">
        <v>72</v>
      </c>
      <c r="C170" s="105" t="s">
        <v>73</v>
      </c>
      <c r="D170" s="106" t="s">
        <v>74</v>
      </c>
      <c r="E170" s="107" t="s">
        <v>75</v>
      </c>
      <c r="F170" s="107" t="s">
        <v>76</v>
      </c>
    </row>
    <row r="171" spans="1:6" ht="18">
      <c r="A171" s="720" t="s">
        <v>83</v>
      </c>
      <c r="B171" s="722"/>
      <c r="C171" s="722"/>
      <c r="D171" s="722"/>
      <c r="E171" s="722"/>
      <c r="F171" s="723"/>
    </row>
    <row r="172" spans="1:6" ht="18">
      <c r="A172" s="118">
        <v>34</v>
      </c>
      <c r="B172" s="144" t="s">
        <v>160</v>
      </c>
      <c r="C172" s="110" t="s">
        <v>54</v>
      </c>
      <c r="D172" s="111">
        <v>1.1</v>
      </c>
      <c r="E172" s="112">
        <v>3.2</v>
      </c>
      <c r="F172" s="112">
        <f>D172*E172</f>
        <v>3.5200000000000005</v>
      </c>
    </row>
    <row r="173" spans="1:6" ht="18">
      <c r="A173" s="118">
        <v>337</v>
      </c>
      <c r="B173" s="127" t="s">
        <v>104</v>
      </c>
      <c r="C173" s="110" t="s">
        <v>54</v>
      </c>
      <c r="D173" s="111">
        <v>0.03</v>
      </c>
      <c r="E173" s="112">
        <v>9</v>
      </c>
      <c r="F173" s="112">
        <f>D173*E173</f>
        <v>0.27</v>
      </c>
    </row>
    <row r="174" spans="1:6" ht="18">
      <c r="A174" s="720" t="s">
        <v>103</v>
      </c>
      <c r="B174" s="722"/>
      <c r="C174" s="722"/>
      <c r="D174" s="722"/>
      <c r="E174" s="722"/>
      <c r="F174" s="723"/>
    </row>
    <row r="175" spans="1:6" ht="36">
      <c r="A175" s="108">
        <v>88238</v>
      </c>
      <c r="B175" s="109" t="s">
        <v>118</v>
      </c>
      <c r="C175" s="110" t="s">
        <v>88</v>
      </c>
      <c r="D175" s="111">
        <v>0.1</v>
      </c>
      <c r="E175" s="112">
        <v>10.13</v>
      </c>
      <c r="F175" s="112">
        <f>D175*E175</f>
        <v>1.0130000000000001</v>
      </c>
    </row>
    <row r="176" spans="1:6" ht="18">
      <c r="A176" s="118">
        <v>88245</v>
      </c>
      <c r="B176" s="109" t="s">
        <v>119</v>
      </c>
      <c r="C176" s="110" t="s">
        <v>88</v>
      </c>
      <c r="D176" s="164">
        <v>0.1</v>
      </c>
      <c r="E176" s="112">
        <v>12.51</v>
      </c>
      <c r="F176" s="112">
        <f>D176*E176</f>
        <v>1.2510000000000001</v>
      </c>
    </row>
    <row r="177" spans="1:6" ht="18">
      <c r="A177" s="727"/>
      <c r="B177" s="728"/>
      <c r="C177" s="728"/>
      <c r="D177" s="728"/>
      <c r="E177" s="728"/>
      <c r="F177" s="729"/>
    </row>
    <row r="178" spans="1:6" ht="18">
      <c r="A178" s="730" t="str">
        <f>"BDI ("&amp;$H$2&amp;"%)"</f>
        <v>BDI (%)</v>
      </c>
      <c r="B178" s="731"/>
      <c r="C178" s="110" t="s">
        <v>80</v>
      </c>
      <c r="D178" s="113">
        <f>$H$2</f>
        <v>0</v>
      </c>
      <c r="E178" s="112">
        <f>SUM(F175:F176,F172:F173)</f>
        <v>6.054</v>
      </c>
      <c r="F178" s="112">
        <f>D178*E178/100</f>
        <v>0</v>
      </c>
    </row>
    <row r="179" spans="1:6" ht="18">
      <c r="A179" s="689" t="s">
        <v>81</v>
      </c>
      <c r="B179" s="689"/>
      <c r="C179" s="114"/>
      <c r="D179" s="115"/>
      <c r="E179" s="116"/>
      <c r="F179" s="116">
        <f>E178+F178</f>
        <v>6.054</v>
      </c>
    </row>
    <row r="180" spans="1:6" ht="18">
      <c r="A180" s="117"/>
      <c r="B180" s="117"/>
      <c r="C180" s="117"/>
      <c r="D180" s="117"/>
      <c r="E180" s="117"/>
      <c r="F180" s="117"/>
    </row>
    <row r="181" spans="1:6" ht="36">
      <c r="A181" s="102" t="s">
        <v>115</v>
      </c>
      <c r="B181" s="732" t="s">
        <v>161</v>
      </c>
      <c r="C181" s="733"/>
      <c r="D181" s="733"/>
      <c r="E181" s="733"/>
      <c r="F181" s="734"/>
    </row>
    <row r="182" spans="1:6" ht="36">
      <c r="A182" s="103" t="s">
        <v>99</v>
      </c>
      <c r="B182" s="104" t="s">
        <v>72</v>
      </c>
      <c r="C182" s="105" t="s">
        <v>73</v>
      </c>
      <c r="D182" s="106" t="s">
        <v>74</v>
      </c>
      <c r="E182" s="107" t="s">
        <v>75</v>
      </c>
      <c r="F182" s="107" t="s">
        <v>76</v>
      </c>
    </row>
    <row r="183" spans="1:6" ht="18">
      <c r="A183" s="720" t="s">
        <v>83</v>
      </c>
      <c r="B183" s="722"/>
      <c r="C183" s="722"/>
      <c r="D183" s="722"/>
      <c r="E183" s="722"/>
      <c r="F183" s="723"/>
    </row>
    <row r="184" spans="1:6" ht="18">
      <c r="A184" s="126">
        <v>39</v>
      </c>
      <c r="B184" s="127" t="s">
        <v>117</v>
      </c>
      <c r="C184" s="110" t="s">
        <v>54</v>
      </c>
      <c r="D184" s="111">
        <v>1.1</v>
      </c>
      <c r="E184" s="112">
        <v>3.33</v>
      </c>
      <c r="F184" s="112">
        <f>D184*E184</f>
        <v>3.6630000000000003</v>
      </c>
    </row>
    <row r="185" spans="1:6" ht="18">
      <c r="A185" s="110">
        <v>337</v>
      </c>
      <c r="B185" s="127" t="s">
        <v>104</v>
      </c>
      <c r="C185" s="110" t="s">
        <v>54</v>
      </c>
      <c r="D185" s="111">
        <v>0.02</v>
      </c>
      <c r="E185" s="112">
        <v>8.48</v>
      </c>
      <c r="F185" s="112">
        <f>D185*E185</f>
        <v>0.1696</v>
      </c>
    </row>
    <row r="186" spans="1:6" ht="18">
      <c r="A186" s="720" t="s">
        <v>103</v>
      </c>
      <c r="B186" s="722"/>
      <c r="C186" s="722"/>
      <c r="D186" s="722"/>
      <c r="E186" s="722"/>
      <c r="F186" s="723"/>
    </row>
    <row r="187" spans="1:6" ht="36">
      <c r="A187" s="141">
        <v>88238</v>
      </c>
      <c r="B187" s="109" t="s">
        <v>118</v>
      </c>
      <c r="C187" s="110" t="s">
        <v>88</v>
      </c>
      <c r="D187" s="111">
        <v>0.1</v>
      </c>
      <c r="E187" s="112">
        <v>10.51</v>
      </c>
      <c r="F187" s="112">
        <f>D187*E187</f>
        <v>1.051</v>
      </c>
    </row>
    <row r="188" spans="1:6" ht="18">
      <c r="A188" s="118">
        <v>88245</v>
      </c>
      <c r="B188" s="109" t="s">
        <v>119</v>
      </c>
      <c r="C188" s="110" t="s">
        <v>88</v>
      </c>
      <c r="D188" s="138">
        <v>0.1</v>
      </c>
      <c r="E188" s="140">
        <v>12.91</v>
      </c>
      <c r="F188" s="112">
        <f>D188*E188</f>
        <v>1.2910000000000001</v>
      </c>
    </row>
    <row r="189" spans="1:6" ht="18">
      <c r="A189" s="727"/>
      <c r="B189" s="728"/>
      <c r="C189" s="728"/>
      <c r="D189" s="728"/>
      <c r="E189" s="728"/>
      <c r="F189" s="729"/>
    </row>
    <row r="190" spans="1:6" ht="18">
      <c r="A190" s="730" t="str">
        <f>"BDI ("&amp;$H$2&amp;"%)"</f>
        <v>BDI (%)</v>
      </c>
      <c r="B190" s="731"/>
      <c r="C190" s="110" t="s">
        <v>80</v>
      </c>
      <c r="D190" s="113">
        <f>$H$2</f>
        <v>0</v>
      </c>
      <c r="E190" s="112">
        <f>SUM(F184:F185,F187:F188)</f>
        <v>6.174600000000001</v>
      </c>
      <c r="F190" s="112">
        <f>D190*E190/100</f>
        <v>0</v>
      </c>
    </row>
    <row r="191" spans="1:6" ht="18">
      <c r="A191" s="689" t="s">
        <v>81</v>
      </c>
      <c r="B191" s="689"/>
      <c r="C191" s="114"/>
      <c r="D191" s="115"/>
      <c r="E191" s="116"/>
      <c r="F191" s="116">
        <f>E190+F190</f>
        <v>6.174600000000001</v>
      </c>
    </row>
    <row r="192" spans="1:6" ht="18">
      <c r="A192" s="117"/>
      <c r="B192" s="117"/>
      <c r="C192" s="117"/>
      <c r="D192" s="117"/>
      <c r="E192" s="117"/>
      <c r="F192" s="117"/>
    </row>
    <row r="193" spans="1:6" ht="18">
      <c r="A193" s="117"/>
      <c r="B193" s="117"/>
      <c r="C193" s="117"/>
      <c r="D193" s="117"/>
      <c r="E193" s="117"/>
      <c r="F193" s="117"/>
    </row>
    <row r="194" spans="1:6" ht="15">
      <c r="A194" s="81"/>
      <c r="B194" s="81"/>
      <c r="C194" s="81"/>
      <c r="D194" s="81"/>
      <c r="E194" s="81"/>
      <c r="F194" s="81"/>
    </row>
    <row r="195" spans="1:6" ht="18">
      <c r="A195" s="624" t="s">
        <v>684</v>
      </c>
      <c r="B195" s="687" t="s">
        <v>173</v>
      </c>
      <c r="C195" s="687"/>
      <c r="D195" s="687"/>
      <c r="E195" s="687"/>
      <c r="F195" s="687"/>
    </row>
    <row r="196" spans="1:6" ht="36">
      <c r="A196" s="174" t="s">
        <v>99</v>
      </c>
      <c r="B196" s="175" t="s">
        <v>72</v>
      </c>
      <c r="C196" s="175" t="s">
        <v>73</v>
      </c>
      <c r="D196" s="176" t="s">
        <v>74</v>
      </c>
      <c r="E196" s="177" t="s">
        <v>75</v>
      </c>
      <c r="F196" s="177" t="s">
        <v>76</v>
      </c>
    </row>
    <row r="197" spans="1:6" ht="18">
      <c r="A197" s="685" t="s">
        <v>83</v>
      </c>
      <c r="B197" s="685"/>
      <c r="C197" s="685"/>
      <c r="D197" s="685"/>
      <c r="E197" s="685"/>
      <c r="F197" s="685"/>
    </row>
    <row r="198" spans="1:6" ht="72">
      <c r="A198" s="110">
        <v>87292</v>
      </c>
      <c r="B198" s="127" t="s">
        <v>689</v>
      </c>
      <c r="C198" s="110" t="s">
        <v>7</v>
      </c>
      <c r="D198" s="111">
        <v>0.0135</v>
      </c>
      <c r="E198" s="112">
        <f>F215</f>
        <v>442.8399</v>
      </c>
      <c r="F198" s="112">
        <f>D198*E198</f>
        <v>5.9783386499999995</v>
      </c>
    </row>
    <row r="199" spans="1:6" ht="18">
      <c r="A199" s="110">
        <v>7267</v>
      </c>
      <c r="B199" s="146" t="s">
        <v>174</v>
      </c>
      <c r="C199" s="110" t="s">
        <v>34</v>
      </c>
      <c r="D199" s="111">
        <v>56.62</v>
      </c>
      <c r="E199" s="112">
        <v>0.42</v>
      </c>
      <c r="F199" s="112">
        <f>D199*E199</f>
        <v>23.780399999999997</v>
      </c>
    </row>
    <row r="200" spans="1:6" ht="18">
      <c r="A200" s="724" t="s">
        <v>103</v>
      </c>
      <c r="B200" s="725"/>
      <c r="C200" s="725"/>
      <c r="D200" s="725"/>
      <c r="E200" s="725"/>
      <c r="F200" s="726"/>
    </row>
    <row r="201" spans="1:6" ht="18">
      <c r="A201" s="118">
        <v>88309</v>
      </c>
      <c r="B201" s="119" t="s">
        <v>94</v>
      </c>
      <c r="C201" s="110" t="s">
        <v>88</v>
      </c>
      <c r="D201" s="111">
        <v>1.5</v>
      </c>
      <c r="E201" s="112">
        <v>16.44</v>
      </c>
      <c r="F201" s="112">
        <f>D201*E201</f>
        <v>24.660000000000004</v>
      </c>
    </row>
    <row r="202" spans="1:6" ht="18">
      <c r="A202" s="178">
        <v>88316</v>
      </c>
      <c r="B202" s="109" t="s">
        <v>95</v>
      </c>
      <c r="C202" s="137" t="s">
        <v>88</v>
      </c>
      <c r="D202" s="138">
        <v>1.5</v>
      </c>
      <c r="E202" s="140">
        <v>13.03</v>
      </c>
      <c r="F202" s="112">
        <f>D202*E202</f>
        <v>19.544999999999998</v>
      </c>
    </row>
    <row r="203" spans="1:6" ht="18">
      <c r="A203" s="778"/>
      <c r="B203" s="779"/>
      <c r="C203" s="779"/>
      <c r="D203" s="779"/>
      <c r="E203" s="779"/>
      <c r="F203" s="780"/>
    </row>
    <row r="204" spans="1:6" ht="18">
      <c r="A204" s="682" t="s">
        <v>422</v>
      </c>
      <c r="B204" s="682"/>
      <c r="C204" s="110" t="s">
        <v>80</v>
      </c>
      <c r="D204" s="113"/>
      <c r="E204" s="112">
        <f>SUM(F198:F199,F201:F202)</f>
        <v>73.96373865</v>
      </c>
      <c r="F204" s="112">
        <f>(D204/100)*E204</f>
        <v>0</v>
      </c>
    </row>
    <row r="205" spans="1:6" ht="18">
      <c r="A205" s="689" t="s">
        <v>81</v>
      </c>
      <c r="B205" s="689"/>
      <c r="C205" s="114"/>
      <c r="D205" s="115"/>
      <c r="E205" s="116"/>
      <c r="F205" s="116">
        <f>E204+F204</f>
        <v>73.96373865</v>
      </c>
    </row>
    <row r="206" spans="1:6" ht="18">
      <c r="A206" s="120"/>
      <c r="B206" s="120"/>
      <c r="C206" s="114"/>
      <c r="D206" s="115"/>
      <c r="E206" s="116"/>
      <c r="F206" s="116"/>
    </row>
    <row r="207" spans="1:6" ht="18">
      <c r="A207" s="120"/>
      <c r="B207" s="120"/>
      <c r="C207" s="114"/>
      <c r="D207" s="115"/>
      <c r="E207" s="116"/>
      <c r="F207" s="116"/>
    </row>
    <row r="208" spans="1:6" ht="36">
      <c r="A208" s="102" t="s">
        <v>175</v>
      </c>
      <c r="B208" s="687" t="s">
        <v>176</v>
      </c>
      <c r="C208" s="687"/>
      <c r="D208" s="687"/>
      <c r="E208" s="687"/>
      <c r="F208" s="687"/>
    </row>
    <row r="209" spans="1:6" ht="36">
      <c r="A209" s="103" t="s">
        <v>99</v>
      </c>
      <c r="B209" s="105" t="s">
        <v>72</v>
      </c>
      <c r="C209" s="105" t="s">
        <v>73</v>
      </c>
      <c r="D209" s="106" t="s">
        <v>74</v>
      </c>
      <c r="E209" s="107" t="s">
        <v>75</v>
      </c>
      <c r="F209" s="107" t="s">
        <v>76</v>
      </c>
    </row>
    <row r="210" spans="1:6" ht="18">
      <c r="A210" s="781" t="s">
        <v>83</v>
      </c>
      <c r="B210" s="781"/>
      <c r="C210" s="781"/>
      <c r="D210" s="781"/>
      <c r="E210" s="781"/>
      <c r="F210" s="781"/>
    </row>
    <row r="211" spans="1:6" ht="18">
      <c r="A211" s="126">
        <v>1379</v>
      </c>
      <c r="B211" s="127" t="s">
        <v>90</v>
      </c>
      <c r="C211" s="110" t="s">
        <v>54</v>
      </c>
      <c r="D211" s="111">
        <v>312.58</v>
      </c>
      <c r="E211" s="112">
        <v>0.56</v>
      </c>
      <c r="F211" s="112">
        <f>D211*E211</f>
        <v>175.0448</v>
      </c>
    </row>
    <row r="212" spans="1:6" ht="18">
      <c r="A212" s="126">
        <v>370</v>
      </c>
      <c r="B212" s="127" t="s">
        <v>100</v>
      </c>
      <c r="C212" s="110" t="s">
        <v>7</v>
      </c>
      <c r="D212" s="111">
        <v>1.63</v>
      </c>
      <c r="E212" s="112">
        <v>75</v>
      </c>
      <c r="F212" s="112">
        <f>D212*E212</f>
        <v>122.24999999999999</v>
      </c>
    </row>
    <row r="213" spans="1:6" ht="18">
      <c r="A213" s="685" t="s">
        <v>103</v>
      </c>
      <c r="B213" s="685"/>
      <c r="C213" s="685"/>
      <c r="D213" s="685"/>
      <c r="E213" s="685"/>
      <c r="F213" s="685"/>
    </row>
    <row r="214" spans="1:6" ht="18">
      <c r="A214" s="110">
        <v>88297</v>
      </c>
      <c r="B214" s="127" t="s">
        <v>95</v>
      </c>
      <c r="C214" s="110" t="s">
        <v>88</v>
      </c>
      <c r="D214" s="111">
        <v>11.17</v>
      </c>
      <c r="E214" s="112">
        <v>13.03</v>
      </c>
      <c r="F214" s="112">
        <f>D214*E214</f>
        <v>145.5451</v>
      </c>
    </row>
    <row r="215" spans="1:6" ht="18">
      <c r="A215" s="689" t="s">
        <v>81</v>
      </c>
      <c r="B215" s="689"/>
      <c r="C215" s="114"/>
      <c r="D215" s="115"/>
      <c r="E215" s="116"/>
      <c r="F215" s="116">
        <f>SUM(F211:F212,F214)</f>
        <v>442.8399</v>
      </c>
    </row>
    <row r="216" spans="1:6" ht="18">
      <c r="A216" s="117"/>
      <c r="B216" s="117"/>
      <c r="C216" s="117"/>
      <c r="D216" s="117"/>
      <c r="E216" s="117"/>
      <c r="F216" s="117"/>
    </row>
    <row r="217" spans="1:6" ht="36">
      <c r="A217" s="102" t="s">
        <v>110</v>
      </c>
      <c r="B217" s="687" t="s">
        <v>111</v>
      </c>
      <c r="C217" s="687"/>
      <c r="D217" s="687"/>
      <c r="E217" s="687"/>
      <c r="F217" s="687"/>
    </row>
    <row r="218" spans="1:6" ht="36">
      <c r="A218" s="103" t="s">
        <v>99</v>
      </c>
      <c r="B218" s="105" t="s">
        <v>72</v>
      </c>
      <c r="C218" s="105" t="s">
        <v>73</v>
      </c>
      <c r="D218" s="106" t="s">
        <v>74</v>
      </c>
      <c r="E218" s="107" t="s">
        <v>75</v>
      </c>
      <c r="F218" s="107" t="s">
        <v>76</v>
      </c>
    </row>
    <row r="219" spans="1:6" ht="18">
      <c r="A219" s="685" t="s">
        <v>83</v>
      </c>
      <c r="B219" s="685"/>
      <c r="C219" s="685"/>
      <c r="D219" s="685"/>
      <c r="E219" s="685"/>
      <c r="F219" s="685"/>
    </row>
    <row r="220" spans="1:6" ht="18">
      <c r="A220" s="126">
        <v>370</v>
      </c>
      <c r="B220" s="127" t="s">
        <v>100</v>
      </c>
      <c r="C220" s="110" t="s">
        <v>7</v>
      </c>
      <c r="D220" s="111">
        <v>0.8904</v>
      </c>
      <c r="E220" s="112">
        <v>60</v>
      </c>
      <c r="F220" s="112">
        <f>D220*E220</f>
        <v>53.424</v>
      </c>
    </row>
    <row r="221" spans="1:6" ht="18">
      <c r="A221" s="110">
        <v>1379</v>
      </c>
      <c r="B221" s="127" t="s">
        <v>90</v>
      </c>
      <c r="C221" s="110" t="s">
        <v>54</v>
      </c>
      <c r="D221" s="111">
        <v>320</v>
      </c>
      <c r="E221" s="112">
        <v>0.56</v>
      </c>
      <c r="F221" s="112">
        <f>ROUNDUP((D221*E221),2)</f>
        <v>179.2</v>
      </c>
    </row>
    <row r="222" spans="1:6" ht="36">
      <c r="A222" s="179">
        <v>4721</v>
      </c>
      <c r="B222" s="180" t="s">
        <v>112</v>
      </c>
      <c r="C222" s="181" t="s">
        <v>7</v>
      </c>
      <c r="D222" s="182">
        <v>0.836</v>
      </c>
      <c r="E222" s="183">
        <v>85</v>
      </c>
      <c r="F222" s="183">
        <f>ROUNDUP((D222*E222),2)</f>
        <v>71.06</v>
      </c>
    </row>
    <row r="223" spans="1:6" ht="18">
      <c r="A223" s="720" t="s">
        <v>102</v>
      </c>
      <c r="B223" s="722"/>
      <c r="C223" s="722"/>
      <c r="D223" s="722"/>
      <c r="E223" s="722"/>
      <c r="F223" s="723"/>
    </row>
    <row r="224" spans="1:6" ht="54">
      <c r="A224" s="133">
        <v>10533</v>
      </c>
      <c r="B224" s="134" t="s">
        <v>113</v>
      </c>
      <c r="C224" s="133" t="s">
        <v>88</v>
      </c>
      <c r="D224" s="135">
        <v>1.8336</v>
      </c>
      <c r="E224" s="136">
        <v>2.7</v>
      </c>
      <c r="F224" s="136">
        <f>ROUNDUP((D224*E224),2)</f>
        <v>4.96</v>
      </c>
    </row>
    <row r="225" spans="1:6" ht="18">
      <c r="A225" s="685" t="s">
        <v>103</v>
      </c>
      <c r="B225" s="685"/>
      <c r="C225" s="685"/>
      <c r="D225" s="685"/>
      <c r="E225" s="685"/>
      <c r="F225" s="685"/>
    </row>
    <row r="226" spans="1:6" ht="36">
      <c r="A226" s="110">
        <v>88297</v>
      </c>
      <c r="B226" s="127" t="s">
        <v>114</v>
      </c>
      <c r="C226" s="137" t="s">
        <v>88</v>
      </c>
      <c r="D226" s="138">
        <v>1.8336</v>
      </c>
      <c r="E226" s="139">
        <v>17.36</v>
      </c>
      <c r="F226" s="112">
        <f>D226*E226</f>
        <v>31.831296</v>
      </c>
    </row>
    <row r="227" spans="1:6" ht="18">
      <c r="A227" s="110">
        <v>88316</v>
      </c>
      <c r="B227" s="127" t="s">
        <v>95</v>
      </c>
      <c r="C227" s="137" t="s">
        <v>88</v>
      </c>
      <c r="D227" s="138">
        <v>3.2378</v>
      </c>
      <c r="E227" s="140">
        <v>13.03</v>
      </c>
      <c r="F227" s="112">
        <f>ROUNDUP((D227*E227),2)</f>
        <v>42.19</v>
      </c>
    </row>
    <row r="228" spans="1:6" ht="18">
      <c r="A228" s="681"/>
      <c r="B228" s="681"/>
      <c r="C228" s="681"/>
      <c r="D228" s="681"/>
      <c r="E228" s="681"/>
      <c r="F228" s="681"/>
    </row>
    <row r="229" spans="1:6" ht="18">
      <c r="A229" s="689" t="s">
        <v>81</v>
      </c>
      <c r="B229" s="689"/>
      <c r="C229" s="114"/>
      <c r="D229" s="115"/>
      <c r="E229" s="116"/>
      <c r="F229" s="116">
        <f>SUM(F220:F222,F224,F226:F227)</f>
        <v>382.66529599999996</v>
      </c>
    </row>
    <row r="230" spans="1:6" ht="18">
      <c r="A230" s="117"/>
      <c r="B230" s="117"/>
      <c r="C230" s="117"/>
      <c r="D230" s="117"/>
      <c r="E230" s="117"/>
      <c r="F230" s="117"/>
    </row>
    <row r="231" spans="1:6" ht="36">
      <c r="A231" s="102" t="s">
        <v>115</v>
      </c>
      <c r="B231" s="732" t="s">
        <v>116</v>
      </c>
      <c r="C231" s="733"/>
      <c r="D231" s="733"/>
      <c r="E231" s="733"/>
      <c r="F231" s="734"/>
    </row>
    <row r="232" spans="1:6" ht="36">
      <c r="A232" s="103" t="s">
        <v>99</v>
      </c>
      <c r="B232" s="104" t="s">
        <v>72</v>
      </c>
      <c r="C232" s="105" t="s">
        <v>73</v>
      </c>
      <c r="D232" s="106" t="s">
        <v>74</v>
      </c>
      <c r="E232" s="107" t="s">
        <v>75</v>
      </c>
      <c r="F232" s="107" t="s">
        <v>76</v>
      </c>
    </row>
    <row r="233" spans="1:6" ht="18">
      <c r="A233" s="720" t="s">
        <v>83</v>
      </c>
      <c r="B233" s="722"/>
      <c r="C233" s="722"/>
      <c r="D233" s="722"/>
      <c r="E233" s="722"/>
      <c r="F233" s="723"/>
    </row>
    <row r="234" spans="1:6" ht="18">
      <c r="A234" s="126">
        <v>39</v>
      </c>
      <c r="B234" s="127" t="s">
        <v>117</v>
      </c>
      <c r="C234" s="110" t="s">
        <v>54</v>
      </c>
      <c r="D234" s="111">
        <v>1.1</v>
      </c>
      <c r="E234" s="112">
        <v>3.6</v>
      </c>
      <c r="F234" s="112">
        <f>D234*E234</f>
        <v>3.9600000000000004</v>
      </c>
    </row>
    <row r="235" spans="1:6" ht="18">
      <c r="A235" s="110">
        <v>337</v>
      </c>
      <c r="B235" s="127" t="s">
        <v>104</v>
      </c>
      <c r="C235" s="110" t="s">
        <v>54</v>
      </c>
      <c r="D235" s="111">
        <v>0.02</v>
      </c>
      <c r="E235" s="112">
        <v>9</v>
      </c>
      <c r="F235" s="112">
        <f>D235*E235</f>
        <v>0.18</v>
      </c>
    </row>
    <row r="236" spans="1:6" ht="18">
      <c r="A236" s="720" t="s">
        <v>103</v>
      </c>
      <c r="B236" s="722"/>
      <c r="C236" s="722"/>
      <c r="D236" s="722"/>
      <c r="E236" s="722"/>
      <c r="F236" s="723"/>
    </row>
    <row r="237" spans="1:6" ht="36">
      <c r="A237" s="141">
        <v>88238</v>
      </c>
      <c r="B237" s="109" t="s">
        <v>118</v>
      </c>
      <c r="C237" s="110" t="s">
        <v>88</v>
      </c>
      <c r="D237" s="111">
        <v>0.1</v>
      </c>
      <c r="E237" s="112">
        <v>13.42</v>
      </c>
      <c r="F237" s="112">
        <f>D237*E237</f>
        <v>1.342</v>
      </c>
    </row>
    <row r="238" spans="1:6" ht="18">
      <c r="A238" s="118">
        <v>88245</v>
      </c>
      <c r="B238" s="109" t="s">
        <v>119</v>
      </c>
      <c r="C238" s="110" t="s">
        <v>88</v>
      </c>
      <c r="D238" s="138">
        <v>0.1</v>
      </c>
      <c r="E238" s="140">
        <v>16.35</v>
      </c>
      <c r="F238" s="112">
        <f>D238*E238</f>
        <v>1.6350000000000002</v>
      </c>
    </row>
    <row r="239" spans="1:6" ht="18">
      <c r="A239" s="727"/>
      <c r="B239" s="728"/>
      <c r="C239" s="728"/>
      <c r="D239" s="728"/>
      <c r="E239" s="728"/>
      <c r="F239" s="729"/>
    </row>
    <row r="240" spans="1:6" ht="18">
      <c r="A240" s="689" t="s">
        <v>81</v>
      </c>
      <c r="B240" s="689"/>
      <c r="C240" s="114"/>
      <c r="D240" s="115"/>
      <c r="E240" s="116"/>
      <c r="F240" s="116">
        <f>SUM(F234:F235,F237:F238)</f>
        <v>7.117000000000001</v>
      </c>
    </row>
    <row r="241" spans="1:6" ht="18">
      <c r="A241" s="117"/>
      <c r="B241" s="117"/>
      <c r="C241" s="117"/>
      <c r="D241" s="117"/>
      <c r="E241" s="117"/>
      <c r="F241" s="117"/>
    </row>
    <row r="242" spans="1:6" ht="36">
      <c r="A242" s="102" t="s">
        <v>120</v>
      </c>
      <c r="B242" s="732" t="s">
        <v>423</v>
      </c>
      <c r="C242" s="733"/>
      <c r="D242" s="733"/>
      <c r="E242" s="733"/>
      <c r="F242" s="734"/>
    </row>
    <row r="243" spans="1:6" ht="36">
      <c r="A243" s="103" t="s">
        <v>99</v>
      </c>
      <c r="B243" s="104" t="s">
        <v>72</v>
      </c>
      <c r="C243" s="105" t="s">
        <v>73</v>
      </c>
      <c r="D243" s="106" t="s">
        <v>74</v>
      </c>
      <c r="E243" s="107" t="s">
        <v>75</v>
      </c>
      <c r="F243" s="107" t="s">
        <v>76</v>
      </c>
    </row>
    <row r="244" spans="1:6" ht="18">
      <c r="A244" s="720" t="s">
        <v>83</v>
      </c>
      <c r="B244" s="722"/>
      <c r="C244" s="722"/>
      <c r="D244" s="722"/>
      <c r="E244" s="722"/>
      <c r="F244" s="723"/>
    </row>
    <row r="245" spans="1:6" ht="18">
      <c r="A245" s="126">
        <v>29</v>
      </c>
      <c r="B245" s="127" t="s">
        <v>122</v>
      </c>
      <c r="C245" s="110" t="s">
        <v>54</v>
      </c>
      <c r="D245" s="111">
        <v>1.1</v>
      </c>
      <c r="E245" s="112">
        <v>3.4</v>
      </c>
      <c r="F245" s="112">
        <f>D245*E245</f>
        <v>3.74</v>
      </c>
    </row>
    <row r="246" spans="1:6" ht="18">
      <c r="A246" s="110">
        <v>337</v>
      </c>
      <c r="B246" s="127" t="s">
        <v>104</v>
      </c>
      <c r="C246" s="110" t="s">
        <v>54</v>
      </c>
      <c r="D246" s="111">
        <v>0.03</v>
      </c>
      <c r="E246" s="112">
        <v>9</v>
      </c>
      <c r="F246" s="112">
        <f>D246*E246</f>
        <v>0.27</v>
      </c>
    </row>
    <row r="247" spans="1:6" ht="18">
      <c r="A247" s="720" t="s">
        <v>103</v>
      </c>
      <c r="B247" s="722"/>
      <c r="C247" s="722"/>
      <c r="D247" s="722"/>
      <c r="E247" s="722"/>
      <c r="F247" s="723"/>
    </row>
    <row r="248" spans="1:6" ht="36">
      <c r="A248" s="141">
        <v>88238</v>
      </c>
      <c r="B248" s="109" t="s">
        <v>118</v>
      </c>
      <c r="C248" s="110" t="s">
        <v>88</v>
      </c>
      <c r="D248" s="111">
        <v>0.08</v>
      </c>
      <c r="E248" s="112">
        <v>13.42</v>
      </c>
      <c r="F248" s="112">
        <f>D248*E248</f>
        <v>1.0736</v>
      </c>
    </row>
    <row r="249" spans="1:6" ht="18">
      <c r="A249" s="118">
        <v>88245</v>
      </c>
      <c r="B249" s="109" t="s">
        <v>119</v>
      </c>
      <c r="C249" s="110" t="s">
        <v>88</v>
      </c>
      <c r="D249" s="138">
        <v>0.08</v>
      </c>
      <c r="E249" s="140">
        <v>16.35</v>
      </c>
      <c r="F249" s="112">
        <f>D249*E249</f>
        <v>1.308</v>
      </c>
    </row>
    <row r="250" spans="1:6" ht="18">
      <c r="A250" s="727"/>
      <c r="B250" s="728"/>
      <c r="C250" s="728"/>
      <c r="D250" s="728"/>
      <c r="E250" s="728"/>
      <c r="F250" s="729"/>
    </row>
    <row r="251" spans="1:6" ht="18">
      <c r="A251" s="689" t="s">
        <v>81</v>
      </c>
      <c r="B251" s="689"/>
      <c r="C251" s="114"/>
      <c r="D251" s="115"/>
      <c r="E251" s="116"/>
      <c r="F251" s="116">
        <f>SUM(F245:F246,F248:F249)</f>
        <v>6.3915999999999995</v>
      </c>
    </row>
    <row r="252" spans="1:6" ht="18">
      <c r="A252" s="117"/>
      <c r="B252" s="117"/>
      <c r="C252" s="117"/>
      <c r="D252" s="117"/>
      <c r="E252" s="117"/>
      <c r="F252" s="117"/>
    </row>
    <row r="253" spans="1:6" ht="36">
      <c r="A253" s="102" t="s">
        <v>123</v>
      </c>
      <c r="B253" s="732" t="s">
        <v>124</v>
      </c>
      <c r="C253" s="733"/>
      <c r="D253" s="733"/>
      <c r="E253" s="733"/>
      <c r="F253" s="734"/>
    </row>
    <row r="254" spans="1:6" ht="36">
      <c r="A254" s="103" t="s">
        <v>99</v>
      </c>
      <c r="B254" s="104" t="s">
        <v>72</v>
      </c>
      <c r="C254" s="105" t="s">
        <v>73</v>
      </c>
      <c r="D254" s="106" t="s">
        <v>74</v>
      </c>
      <c r="E254" s="107" t="s">
        <v>75</v>
      </c>
      <c r="F254" s="107" t="s">
        <v>76</v>
      </c>
    </row>
    <row r="255" spans="1:6" ht="18">
      <c r="A255" s="720" t="s">
        <v>102</v>
      </c>
      <c r="B255" s="722"/>
      <c r="C255" s="722"/>
      <c r="D255" s="722"/>
      <c r="E255" s="722"/>
      <c r="F255" s="723"/>
    </row>
    <row r="256" spans="1:6" ht="36">
      <c r="A256" s="110">
        <v>10485</v>
      </c>
      <c r="B256" s="142" t="s">
        <v>125</v>
      </c>
      <c r="C256" s="110" t="s">
        <v>88</v>
      </c>
      <c r="D256" s="111">
        <v>0.3</v>
      </c>
      <c r="E256" s="112">
        <v>1.07</v>
      </c>
      <c r="F256" s="112">
        <f>ROUNDUP((D256*E256),2)</f>
        <v>0.33</v>
      </c>
    </row>
    <row r="257" spans="1:6" ht="18">
      <c r="A257" s="720" t="s">
        <v>103</v>
      </c>
      <c r="B257" s="722"/>
      <c r="C257" s="722"/>
      <c r="D257" s="722"/>
      <c r="E257" s="722"/>
      <c r="F257" s="723"/>
    </row>
    <row r="258" spans="1:6" ht="18">
      <c r="A258" s="118">
        <v>88309</v>
      </c>
      <c r="B258" s="119" t="s">
        <v>94</v>
      </c>
      <c r="C258" s="110" t="s">
        <v>88</v>
      </c>
      <c r="D258" s="111">
        <v>1.65</v>
      </c>
      <c r="E258" s="112">
        <v>16.44</v>
      </c>
      <c r="F258" s="112">
        <f>ROUNDUP((D258*E258),2)</f>
        <v>27.130000000000003</v>
      </c>
    </row>
    <row r="259" spans="1:6" ht="18">
      <c r="A259" s="118">
        <v>88316</v>
      </c>
      <c r="B259" s="109" t="s">
        <v>95</v>
      </c>
      <c r="C259" s="137" t="s">
        <v>88</v>
      </c>
      <c r="D259" s="138">
        <v>4.5</v>
      </c>
      <c r="E259" s="140">
        <v>13.05</v>
      </c>
      <c r="F259" s="112">
        <f>ROUNDUP((D259*E259),2)</f>
        <v>58.73</v>
      </c>
    </row>
    <row r="260" spans="1:6" ht="18">
      <c r="A260" s="727"/>
      <c r="B260" s="728"/>
      <c r="C260" s="728"/>
      <c r="D260" s="728"/>
      <c r="E260" s="728"/>
      <c r="F260" s="729"/>
    </row>
    <row r="261" spans="1:6" ht="18">
      <c r="A261" s="689" t="s">
        <v>81</v>
      </c>
      <c r="B261" s="689"/>
      <c r="C261" s="114"/>
      <c r="D261" s="115"/>
      <c r="E261" s="116"/>
      <c r="F261" s="116">
        <f>SUM(F256,F258:F259)</f>
        <v>86.19</v>
      </c>
    </row>
    <row r="262" spans="1:6" ht="18">
      <c r="A262" s="117"/>
      <c r="B262" s="117"/>
      <c r="C262" s="117"/>
      <c r="D262" s="117"/>
      <c r="E262" s="117"/>
      <c r="F262" s="117"/>
    </row>
    <row r="263" spans="1:6" ht="36">
      <c r="A263" s="102" t="s">
        <v>126</v>
      </c>
      <c r="B263" s="732" t="s">
        <v>127</v>
      </c>
      <c r="C263" s="733"/>
      <c r="D263" s="733"/>
      <c r="E263" s="733"/>
      <c r="F263" s="734"/>
    </row>
    <row r="264" spans="1:6" ht="36">
      <c r="A264" s="103" t="s">
        <v>99</v>
      </c>
      <c r="B264" s="104" t="s">
        <v>72</v>
      </c>
      <c r="C264" s="105" t="s">
        <v>73</v>
      </c>
      <c r="D264" s="106" t="s">
        <v>74</v>
      </c>
      <c r="E264" s="107" t="s">
        <v>75</v>
      </c>
      <c r="F264" s="107" t="s">
        <v>76</v>
      </c>
    </row>
    <row r="265" spans="1:6" ht="18">
      <c r="A265" s="720" t="s">
        <v>83</v>
      </c>
      <c r="B265" s="722"/>
      <c r="C265" s="722"/>
      <c r="D265" s="722"/>
      <c r="E265" s="722"/>
      <c r="F265" s="723"/>
    </row>
    <row r="266" spans="1:6" ht="36">
      <c r="A266" s="126">
        <v>1347</v>
      </c>
      <c r="B266" s="127" t="s">
        <v>128</v>
      </c>
      <c r="C266" s="110" t="s">
        <v>4</v>
      </c>
      <c r="D266" s="143">
        <f>0.19/0.25</f>
        <v>0.76</v>
      </c>
      <c r="E266" s="112">
        <v>28.06</v>
      </c>
      <c r="F266" s="112">
        <f aca="true" t="shared" si="2" ref="F266:F271">D266*E266</f>
        <v>21.325599999999998</v>
      </c>
    </row>
    <row r="267" spans="1:6" ht="36">
      <c r="A267" s="126">
        <v>2692</v>
      </c>
      <c r="B267" s="127" t="s">
        <v>129</v>
      </c>
      <c r="C267" s="110" t="s">
        <v>130</v>
      </c>
      <c r="D267" s="143">
        <v>0.006</v>
      </c>
      <c r="E267" s="112">
        <v>4.56</v>
      </c>
      <c r="F267" s="112">
        <f t="shared" si="2"/>
        <v>0.02736</v>
      </c>
    </row>
    <row r="268" spans="1:6" ht="36">
      <c r="A268" s="110">
        <v>4491</v>
      </c>
      <c r="B268" s="127" t="s">
        <v>131</v>
      </c>
      <c r="C268" s="110" t="s">
        <v>4</v>
      </c>
      <c r="D268" s="143">
        <v>0.48</v>
      </c>
      <c r="E268" s="112">
        <v>8.32</v>
      </c>
      <c r="F268" s="112">
        <f t="shared" si="2"/>
        <v>3.9936</v>
      </c>
    </row>
    <row r="269" spans="1:6" ht="54">
      <c r="A269" s="110">
        <v>4506</v>
      </c>
      <c r="B269" s="127" t="s">
        <v>132</v>
      </c>
      <c r="C269" s="110" t="s">
        <v>26</v>
      </c>
      <c r="D269" s="143">
        <v>0.25</v>
      </c>
      <c r="E269" s="112">
        <v>5.16</v>
      </c>
      <c r="F269" s="112">
        <f t="shared" si="2"/>
        <v>1.29</v>
      </c>
    </row>
    <row r="270" spans="1:6" ht="36">
      <c r="A270" s="110">
        <v>6189</v>
      </c>
      <c r="B270" s="127" t="s">
        <v>133</v>
      </c>
      <c r="C270" s="110" t="s">
        <v>26</v>
      </c>
      <c r="D270" s="143">
        <v>0.14</v>
      </c>
      <c r="E270" s="112">
        <v>7.29</v>
      </c>
      <c r="F270" s="112">
        <f t="shared" si="2"/>
        <v>1.0206000000000002</v>
      </c>
    </row>
    <row r="271" spans="1:6" ht="18">
      <c r="A271" s="110">
        <v>5068</v>
      </c>
      <c r="B271" s="127" t="s">
        <v>134</v>
      </c>
      <c r="C271" s="110" t="s">
        <v>54</v>
      </c>
      <c r="D271" s="143">
        <v>0.26</v>
      </c>
      <c r="E271" s="112">
        <v>7.53</v>
      </c>
      <c r="F271" s="112">
        <f t="shared" si="2"/>
        <v>1.9578000000000002</v>
      </c>
    </row>
    <row r="272" spans="1:6" ht="18">
      <c r="A272" s="720" t="s">
        <v>103</v>
      </c>
      <c r="B272" s="722"/>
      <c r="C272" s="722"/>
      <c r="D272" s="722"/>
      <c r="E272" s="722"/>
      <c r="F272" s="723"/>
    </row>
    <row r="273" spans="1:6" ht="36">
      <c r="A273" s="126">
        <v>88262</v>
      </c>
      <c r="B273" s="144" t="s">
        <v>93</v>
      </c>
      <c r="C273" s="110" t="s">
        <v>88</v>
      </c>
      <c r="D273" s="143">
        <v>0.66</v>
      </c>
      <c r="E273" s="112">
        <v>16.35</v>
      </c>
      <c r="F273" s="112">
        <f>D273*E273</f>
        <v>10.791000000000002</v>
      </c>
    </row>
    <row r="274" spans="1:6" ht="36">
      <c r="A274" s="118">
        <v>88239</v>
      </c>
      <c r="B274" s="109" t="s">
        <v>135</v>
      </c>
      <c r="C274" s="137" t="s">
        <v>88</v>
      </c>
      <c r="D274" s="145">
        <v>0.16</v>
      </c>
      <c r="E274" s="140">
        <v>13.44</v>
      </c>
      <c r="F274" s="112">
        <f>D274*E274</f>
        <v>2.1504</v>
      </c>
    </row>
    <row r="275" spans="1:6" ht="18">
      <c r="A275" s="727"/>
      <c r="B275" s="728"/>
      <c r="C275" s="728"/>
      <c r="D275" s="728"/>
      <c r="E275" s="728"/>
      <c r="F275" s="729"/>
    </row>
    <row r="276" spans="1:6" ht="18">
      <c r="A276" s="689" t="s">
        <v>81</v>
      </c>
      <c r="B276" s="689"/>
      <c r="C276" s="114"/>
      <c r="D276" s="115"/>
      <c r="E276" s="116"/>
      <c r="F276" s="116">
        <f>SUM(F266:F271,F273:F274)</f>
        <v>42.55636</v>
      </c>
    </row>
    <row r="277" spans="1:6" ht="18">
      <c r="A277" s="117"/>
      <c r="B277" s="117"/>
      <c r="C277" s="117"/>
      <c r="D277" s="117"/>
      <c r="E277" s="117"/>
      <c r="F277" s="117"/>
    </row>
    <row r="278" spans="1:6" ht="36">
      <c r="A278" s="102" t="s">
        <v>136</v>
      </c>
      <c r="B278" s="732" t="s">
        <v>137</v>
      </c>
      <c r="C278" s="733"/>
      <c r="D278" s="733"/>
      <c r="E278" s="733"/>
      <c r="F278" s="734"/>
    </row>
    <row r="279" spans="1:6" ht="36">
      <c r="A279" s="103" t="s">
        <v>99</v>
      </c>
      <c r="B279" s="104" t="s">
        <v>72</v>
      </c>
      <c r="C279" s="105" t="s">
        <v>73</v>
      </c>
      <c r="D279" s="106" t="s">
        <v>74</v>
      </c>
      <c r="E279" s="107" t="s">
        <v>75</v>
      </c>
      <c r="F279" s="107" t="s">
        <v>76</v>
      </c>
    </row>
    <row r="280" spans="1:6" ht="18">
      <c r="A280" s="118">
        <v>88316</v>
      </c>
      <c r="B280" s="109" t="s">
        <v>95</v>
      </c>
      <c r="C280" s="137" t="s">
        <v>88</v>
      </c>
      <c r="D280" s="138">
        <v>2.4</v>
      </c>
      <c r="E280" s="140">
        <v>13.03</v>
      </c>
      <c r="F280" s="112">
        <f>ROUNDUP((D280*E280),2)</f>
        <v>31.28</v>
      </c>
    </row>
    <row r="281" spans="1:6" ht="18">
      <c r="A281" s="727"/>
      <c r="B281" s="728"/>
      <c r="C281" s="728"/>
      <c r="D281" s="728"/>
      <c r="E281" s="728"/>
      <c r="F281" s="729"/>
    </row>
    <row r="282" spans="1:6" ht="18">
      <c r="A282" s="689" t="s">
        <v>81</v>
      </c>
      <c r="B282" s="689"/>
      <c r="C282" s="114"/>
      <c r="D282" s="115"/>
      <c r="E282" s="116"/>
      <c r="F282" s="116">
        <f>SUM(F280:F280)</f>
        <v>31.28</v>
      </c>
    </row>
    <row r="283" spans="1:6" ht="18">
      <c r="A283" s="117"/>
      <c r="B283" s="117"/>
      <c r="C283" s="117"/>
      <c r="D283" s="117"/>
      <c r="E283" s="117"/>
      <c r="F283" s="117"/>
    </row>
    <row r="284" spans="1:6" ht="18">
      <c r="A284" s="624" t="s">
        <v>964</v>
      </c>
      <c r="B284" s="687" t="s">
        <v>965</v>
      </c>
      <c r="C284" s="685"/>
      <c r="D284" s="685"/>
      <c r="E284" s="685"/>
      <c r="F284" s="685"/>
    </row>
    <row r="285" spans="1:6" ht="36">
      <c r="A285" s="103" t="s">
        <v>99</v>
      </c>
      <c r="B285" s="105" t="s">
        <v>72</v>
      </c>
      <c r="C285" s="105" t="s">
        <v>73</v>
      </c>
      <c r="D285" s="106" t="s">
        <v>74</v>
      </c>
      <c r="E285" s="107" t="s">
        <v>75</v>
      </c>
      <c r="F285" s="107" t="s">
        <v>76</v>
      </c>
    </row>
    <row r="286" spans="1:6" ht="18">
      <c r="A286" s="685" t="s">
        <v>138</v>
      </c>
      <c r="B286" s="685"/>
      <c r="C286" s="685"/>
      <c r="D286" s="685"/>
      <c r="E286" s="685"/>
      <c r="F286" s="685"/>
    </row>
    <row r="287" spans="1:6" ht="18">
      <c r="A287" s="110" t="s">
        <v>139</v>
      </c>
      <c r="B287" s="146" t="s">
        <v>140</v>
      </c>
      <c r="C287" s="110" t="s">
        <v>7</v>
      </c>
      <c r="D287" s="143">
        <v>1</v>
      </c>
      <c r="E287" s="112">
        <f>F229</f>
        <v>382.66529599999996</v>
      </c>
      <c r="F287" s="112">
        <f aca="true" t="shared" si="3" ref="F287:F292">ROUNDUP((D287*E287),2)</f>
        <v>382.67</v>
      </c>
    </row>
    <row r="288" spans="1:6" ht="54">
      <c r="A288" s="110" t="s">
        <v>141</v>
      </c>
      <c r="B288" s="127" t="s">
        <v>142</v>
      </c>
      <c r="C288" s="110" t="s">
        <v>54</v>
      </c>
      <c r="D288" s="143">
        <f>0.2*80</f>
        <v>16</v>
      </c>
      <c r="E288" s="112">
        <f>F240</f>
        <v>7.117000000000001</v>
      </c>
      <c r="F288" s="112">
        <f t="shared" si="3"/>
        <v>113.88000000000001</v>
      </c>
    </row>
    <row r="289" spans="1:6" ht="54">
      <c r="A289" s="110" t="s">
        <v>143</v>
      </c>
      <c r="B289" s="127" t="s">
        <v>144</v>
      </c>
      <c r="C289" s="110" t="s">
        <v>54</v>
      </c>
      <c r="D289" s="143">
        <f>0.8*80</f>
        <v>64</v>
      </c>
      <c r="E289" s="112">
        <f>F251</f>
        <v>6.3915999999999995</v>
      </c>
      <c r="F289" s="112">
        <f t="shared" si="3"/>
        <v>409.07</v>
      </c>
    </row>
    <row r="290" spans="1:6" ht="18">
      <c r="A290" s="110" t="s">
        <v>145</v>
      </c>
      <c r="B290" s="146" t="s">
        <v>146</v>
      </c>
      <c r="C290" s="110" t="s">
        <v>7</v>
      </c>
      <c r="D290" s="143">
        <v>1</v>
      </c>
      <c r="E290" s="112">
        <f>F261</f>
        <v>86.19</v>
      </c>
      <c r="F290" s="112">
        <f t="shared" si="3"/>
        <v>86.19</v>
      </c>
    </row>
    <row r="291" spans="1:6" ht="90">
      <c r="A291" s="110">
        <v>84220</v>
      </c>
      <c r="B291" s="127" t="s">
        <v>147</v>
      </c>
      <c r="C291" s="110" t="s">
        <v>4</v>
      </c>
      <c r="D291" s="143">
        <v>12</v>
      </c>
      <c r="E291" s="112">
        <f>F276</f>
        <v>42.55636</v>
      </c>
      <c r="F291" s="112">
        <f t="shared" si="3"/>
        <v>510.68</v>
      </c>
    </row>
    <row r="292" spans="1:6" ht="18">
      <c r="A292" s="110" t="s">
        <v>148</v>
      </c>
      <c r="B292" s="146" t="s">
        <v>149</v>
      </c>
      <c r="C292" s="110" t="s">
        <v>7</v>
      </c>
      <c r="D292" s="143">
        <v>1</v>
      </c>
      <c r="E292" s="112">
        <f>F282</f>
        <v>31.28</v>
      </c>
      <c r="F292" s="112">
        <f t="shared" si="3"/>
        <v>31.28</v>
      </c>
    </row>
    <row r="293" spans="1:6" ht="18">
      <c r="A293" s="681"/>
      <c r="B293" s="681"/>
      <c r="C293" s="681"/>
      <c r="D293" s="681"/>
      <c r="E293" s="681"/>
      <c r="F293" s="681"/>
    </row>
    <row r="294" spans="1:6" ht="18">
      <c r="A294" s="682" t="s">
        <v>421</v>
      </c>
      <c r="B294" s="682"/>
      <c r="C294" s="110" t="s">
        <v>80</v>
      </c>
      <c r="D294" s="147">
        <f>$H$2</f>
        <v>0</v>
      </c>
      <c r="E294" s="112">
        <f>SUM(F287:F292)</f>
        <v>1533.77</v>
      </c>
      <c r="F294" s="112">
        <f>D294*E294/100</f>
        <v>0</v>
      </c>
    </row>
    <row r="295" spans="1:6" ht="18">
      <c r="A295" s="689" t="s">
        <v>81</v>
      </c>
      <c r="B295" s="689"/>
      <c r="C295" s="114"/>
      <c r="D295" s="115"/>
      <c r="E295" s="116"/>
      <c r="F295" s="116">
        <f>E294+F294</f>
        <v>1533.77</v>
      </c>
    </row>
    <row r="296" spans="1:6" ht="18">
      <c r="A296" s="117"/>
      <c r="B296" s="117"/>
      <c r="C296" s="117"/>
      <c r="D296" s="117"/>
      <c r="E296" s="117"/>
      <c r="F296" s="117"/>
    </row>
    <row r="297" spans="1:6" ht="36">
      <c r="A297" s="102" t="s">
        <v>136</v>
      </c>
      <c r="B297" s="732" t="s">
        <v>137</v>
      </c>
      <c r="C297" s="733"/>
      <c r="D297" s="733"/>
      <c r="E297" s="733"/>
      <c r="F297" s="734"/>
    </row>
    <row r="298" spans="1:6" ht="36">
      <c r="A298" s="103" t="s">
        <v>99</v>
      </c>
      <c r="B298" s="104" t="s">
        <v>72</v>
      </c>
      <c r="C298" s="105" t="s">
        <v>73</v>
      </c>
      <c r="D298" s="106" t="s">
        <v>74</v>
      </c>
      <c r="E298" s="107" t="s">
        <v>75</v>
      </c>
      <c r="F298" s="107" t="s">
        <v>76</v>
      </c>
    </row>
    <row r="299" spans="1:6" ht="18">
      <c r="A299" s="775" t="s">
        <v>103</v>
      </c>
      <c r="B299" s="776"/>
      <c r="C299" s="776"/>
      <c r="D299" s="776"/>
      <c r="E299" s="776"/>
      <c r="F299" s="777"/>
    </row>
    <row r="300" spans="1:6" ht="18">
      <c r="A300" s="118">
        <v>88316</v>
      </c>
      <c r="B300" s="109" t="s">
        <v>95</v>
      </c>
      <c r="C300" s="137" t="s">
        <v>88</v>
      </c>
      <c r="D300" s="138">
        <v>2.4</v>
      </c>
      <c r="E300" s="112">
        <v>9.68</v>
      </c>
      <c r="F300" s="112">
        <f>ROUNDUP((D300*E300),2)</f>
        <v>23.240000000000002</v>
      </c>
    </row>
    <row r="301" spans="1:6" ht="18">
      <c r="A301" s="727"/>
      <c r="B301" s="728"/>
      <c r="C301" s="728"/>
      <c r="D301" s="728"/>
      <c r="E301" s="728"/>
      <c r="F301" s="729"/>
    </row>
    <row r="302" spans="1:6" ht="18">
      <c r="A302" s="689" t="s">
        <v>81</v>
      </c>
      <c r="B302" s="689"/>
      <c r="C302" s="114"/>
      <c r="D302" s="115"/>
      <c r="E302" s="116"/>
      <c r="F302" s="116">
        <f>SUM(F300:F300)</f>
        <v>23.240000000000002</v>
      </c>
    </row>
    <row r="303" spans="1:6" ht="18">
      <c r="A303" s="117"/>
      <c r="B303" s="117"/>
      <c r="C303" s="117"/>
      <c r="D303" s="117"/>
      <c r="E303" s="117"/>
      <c r="F303" s="117"/>
    </row>
    <row r="304" spans="1:6" ht="36">
      <c r="A304" s="102" t="s">
        <v>123</v>
      </c>
      <c r="B304" s="732" t="s">
        <v>124</v>
      </c>
      <c r="C304" s="733"/>
      <c r="D304" s="733"/>
      <c r="E304" s="733"/>
      <c r="F304" s="734"/>
    </row>
    <row r="305" spans="1:6" ht="36">
      <c r="A305" s="103" t="s">
        <v>99</v>
      </c>
      <c r="B305" s="104" t="s">
        <v>72</v>
      </c>
      <c r="C305" s="105" t="s">
        <v>73</v>
      </c>
      <c r="D305" s="106" t="s">
        <v>74</v>
      </c>
      <c r="E305" s="107" t="s">
        <v>75</v>
      </c>
      <c r="F305" s="107" t="s">
        <v>76</v>
      </c>
    </row>
    <row r="306" spans="1:6" ht="18">
      <c r="A306" s="720" t="s">
        <v>102</v>
      </c>
      <c r="B306" s="722"/>
      <c r="C306" s="722"/>
      <c r="D306" s="722"/>
      <c r="E306" s="722"/>
      <c r="F306" s="723"/>
    </row>
    <row r="307" spans="1:6" ht="36">
      <c r="A307" s="110">
        <v>10485</v>
      </c>
      <c r="B307" s="142" t="s">
        <v>125</v>
      </c>
      <c r="C307" s="110" t="s">
        <v>88</v>
      </c>
      <c r="D307" s="111">
        <v>0.3</v>
      </c>
      <c r="E307" s="112">
        <v>1.07</v>
      </c>
      <c r="F307" s="112">
        <f>ROUNDUP((D307*E307),2)</f>
        <v>0.33</v>
      </c>
    </row>
    <row r="308" spans="1:6" ht="18">
      <c r="A308" s="720" t="s">
        <v>103</v>
      </c>
      <c r="B308" s="722"/>
      <c r="C308" s="722"/>
      <c r="D308" s="722"/>
      <c r="E308" s="722"/>
      <c r="F308" s="723"/>
    </row>
    <row r="309" spans="1:6" ht="18">
      <c r="A309" s="118">
        <v>88309</v>
      </c>
      <c r="B309" s="119" t="s">
        <v>94</v>
      </c>
      <c r="C309" s="110" t="s">
        <v>88</v>
      </c>
      <c r="D309" s="111">
        <v>1.65</v>
      </c>
      <c r="E309" s="112">
        <v>12.51</v>
      </c>
      <c r="F309" s="112">
        <f>ROUNDUP((D309*E309),2)</f>
        <v>20.650000000000002</v>
      </c>
    </row>
    <row r="310" spans="1:6" ht="18">
      <c r="A310" s="118">
        <v>88316</v>
      </c>
      <c r="B310" s="109" t="s">
        <v>95</v>
      </c>
      <c r="C310" s="137" t="s">
        <v>88</v>
      </c>
      <c r="D310" s="138">
        <v>4.5</v>
      </c>
      <c r="E310" s="112">
        <v>9.68</v>
      </c>
      <c r="F310" s="112">
        <f>ROUNDUP((D310*E310),2)</f>
        <v>43.56</v>
      </c>
    </row>
    <row r="311" spans="1:6" ht="18">
      <c r="A311" s="727"/>
      <c r="B311" s="728"/>
      <c r="C311" s="728"/>
      <c r="D311" s="728"/>
      <c r="E311" s="728"/>
      <c r="F311" s="729"/>
    </row>
    <row r="312" spans="1:6" ht="18">
      <c r="A312" s="689" t="s">
        <v>81</v>
      </c>
      <c r="B312" s="689"/>
      <c r="C312" s="114"/>
      <c r="D312" s="115"/>
      <c r="E312" s="116"/>
      <c r="F312" s="116">
        <f>SUM(F307,F309:F310)</f>
        <v>64.54</v>
      </c>
    </row>
    <row r="313" spans="1:6" ht="18">
      <c r="A313" s="117"/>
      <c r="B313" s="117"/>
      <c r="C313" s="117"/>
      <c r="D313" s="117"/>
      <c r="E313" s="117"/>
      <c r="F313" s="117"/>
    </row>
    <row r="314" spans="1:6" ht="18">
      <c r="A314" s="102"/>
      <c r="B314" s="732" t="s">
        <v>150</v>
      </c>
      <c r="C314" s="733"/>
      <c r="D314" s="733"/>
      <c r="E314" s="733"/>
      <c r="F314" s="734"/>
    </row>
    <row r="315" spans="1:6" ht="36">
      <c r="A315" s="103" t="s">
        <v>99</v>
      </c>
      <c r="B315" s="104" t="s">
        <v>72</v>
      </c>
      <c r="C315" s="105" t="s">
        <v>73</v>
      </c>
      <c r="D315" s="106" t="s">
        <v>74</v>
      </c>
      <c r="E315" s="107" t="s">
        <v>75</v>
      </c>
      <c r="F315" s="107" t="s">
        <v>76</v>
      </c>
    </row>
    <row r="316" spans="1:6" ht="18">
      <c r="A316" s="720" t="s">
        <v>83</v>
      </c>
      <c r="B316" s="722"/>
      <c r="C316" s="722"/>
      <c r="D316" s="722"/>
      <c r="E316" s="722"/>
      <c r="F316" s="723"/>
    </row>
    <row r="317" spans="1:6" ht="18">
      <c r="A317" s="148">
        <v>370</v>
      </c>
      <c r="B317" s="149" t="s">
        <v>100</v>
      </c>
      <c r="C317" s="150" t="s">
        <v>7</v>
      </c>
      <c r="D317" s="151">
        <v>0.8669</v>
      </c>
      <c r="E317" s="152">
        <v>60</v>
      </c>
      <c r="F317" s="152">
        <f>D317*E317</f>
        <v>52.014</v>
      </c>
    </row>
    <row r="318" spans="1:6" ht="18">
      <c r="A318" s="153">
        <v>1379</v>
      </c>
      <c r="B318" s="149" t="s">
        <v>90</v>
      </c>
      <c r="C318" s="150" t="s">
        <v>54</v>
      </c>
      <c r="D318" s="154">
        <v>349</v>
      </c>
      <c r="E318" s="152">
        <v>0.56</v>
      </c>
      <c r="F318" s="152">
        <f>ROUNDUP((D318*E318),2)</f>
        <v>195.44</v>
      </c>
    </row>
    <row r="319" spans="1:6" ht="36">
      <c r="A319" s="148">
        <v>4718</v>
      </c>
      <c r="B319" s="155" t="s">
        <v>101</v>
      </c>
      <c r="C319" s="150" t="s">
        <v>7</v>
      </c>
      <c r="D319" s="151">
        <v>0.209</v>
      </c>
      <c r="E319" s="152">
        <v>66.5</v>
      </c>
      <c r="F319" s="152">
        <f>ROUNDUP((D319*E319),2)</f>
        <v>13.9</v>
      </c>
    </row>
    <row r="320" spans="1:6" ht="18">
      <c r="A320" s="153" t="s">
        <v>145</v>
      </c>
      <c r="B320" s="156" t="s">
        <v>146</v>
      </c>
      <c r="C320" s="150" t="s">
        <v>7</v>
      </c>
      <c r="D320" s="151">
        <v>1</v>
      </c>
      <c r="E320" s="152">
        <f>F312</f>
        <v>64.54</v>
      </c>
      <c r="F320" s="152">
        <v>67.14</v>
      </c>
    </row>
    <row r="321" spans="1:6" ht="18">
      <c r="A321" s="153" t="s">
        <v>148</v>
      </c>
      <c r="B321" s="156" t="s">
        <v>149</v>
      </c>
      <c r="C321" s="150" t="s">
        <v>7</v>
      </c>
      <c r="D321" s="151">
        <v>1</v>
      </c>
      <c r="E321" s="152">
        <v>23.23</v>
      </c>
      <c r="F321" s="152">
        <f>ROUNDUP((D321*E321),2)</f>
        <v>23.23</v>
      </c>
    </row>
    <row r="322" spans="1:6" ht="54">
      <c r="A322" s="150">
        <v>10533</v>
      </c>
      <c r="B322" s="155" t="s">
        <v>113</v>
      </c>
      <c r="C322" s="150" t="s">
        <v>88</v>
      </c>
      <c r="D322" s="151">
        <v>1.8336</v>
      </c>
      <c r="E322" s="152">
        <v>2.7</v>
      </c>
      <c r="F322" s="152">
        <f>ROUNDUP((D322*E322),2)</f>
        <v>4.96</v>
      </c>
    </row>
    <row r="323" spans="1:6" ht="18">
      <c r="A323" s="772" t="s">
        <v>103</v>
      </c>
      <c r="B323" s="773"/>
      <c r="C323" s="773"/>
      <c r="D323" s="773"/>
      <c r="E323" s="773"/>
      <c r="F323" s="774"/>
    </row>
    <row r="324" spans="1:6" ht="36">
      <c r="A324" s="153">
        <v>88297</v>
      </c>
      <c r="B324" s="157" t="s">
        <v>114</v>
      </c>
      <c r="C324" s="158" t="s">
        <v>88</v>
      </c>
      <c r="D324" s="159">
        <v>1.8336</v>
      </c>
      <c r="E324" s="139">
        <v>17.36</v>
      </c>
      <c r="F324" s="152">
        <f>D324*E324</f>
        <v>31.831296</v>
      </c>
    </row>
    <row r="325" spans="1:6" ht="18">
      <c r="A325" s="153">
        <v>88316</v>
      </c>
      <c r="B325" s="157" t="s">
        <v>95</v>
      </c>
      <c r="C325" s="158" t="s">
        <v>88</v>
      </c>
      <c r="D325" s="159">
        <v>3.2378</v>
      </c>
      <c r="E325" s="112">
        <v>13.03</v>
      </c>
      <c r="F325" s="152">
        <f>ROUNDUP((D325*E325),2)</f>
        <v>42.19</v>
      </c>
    </row>
    <row r="326" spans="1:6" ht="18">
      <c r="A326" s="730" t="str">
        <f>"BDI ("&amp;$H$2&amp;"%)"</f>
        <v>BDI (%)</v>
      </c>
      <c r="B326" s="731"/>
      <c r="C326" s="110" t="s">
        <v>80</v>
      </c>
      <c r="D326" s="113">
        <f>$H$2</f>
        <v>0</v>
      </c>
      <c r="E326" s="112">
        <f>SUM(F317:F322,F324:F325)</f>
        <v>430.705296</v>
      </c>
      <c r="F326" s="112">
        <f>D326*E326/100</f>
        <v>0</v>
      </c>
    </row>
    <row r="327" spans="1:6" ht="18">
      <c r="A327" s="689" t="s">
        <v>81</v>
      </c>
      <c r="B327" s="689"/>
      <c r="C327" s="114"/>
      <c r="D327" s="115"/>
      <c r="E327" s="116"/>
      <c r="F327" s="116">
        <f>E326+F326</f>
        <v>430.705296</v>
      </c>
    </row>
    <row r="328" spans="1:6" ht="18">
      <c r="A328" s="184"/>
      <c r="B328" s="184"/>
      <c r="C328" s="184"/>
      <c r="D328" s="184"/>
      <c r="E328" s="184"/>
      <c r="F328" s="184"/>
    </row>
    <row r="329" spans="1:6" ht="36">
      <c r="A329" s="102" t="s">
        <v>177</v>
      </c>
      <c r="B329" s="687" t="s">
        <v>178</v>
      </c>
      <c r="C329" s="687"/>
      <c r="D329" s="687"/>
      <c r="E329" s="687"/>
      <c r="F329" s="687"/>
    </row>
    <row r="330" spans="1:6" ht="36">
      <c r="A330" s="103" t="s">
        <v>99</v>
      </c>
      <c r="B330" s="105" t="s">
        <v>72</v>
      </c>
      <c r="C330" s="105" t="s">
        <v>73</v>
      </c>
      <c r="D330" s="185" t="s">
        <v>74</v>
      </c>
      <c r="E330" s="107" t="s">
        <v>75</v>
      </c>
      <c r="F330" s="107" t="s">
        <v>76</v>
      </c>
    </row>
    <row r="331" spans="1:6" ht="18">
      <c r="A331" s="720" t="s">
        <v>83</v>
      </c>
      <c r="B331" s="722"/>
      <c r="C331" s="722"/>
      <c r="D331" s="722"/>
      <c r="E331" s="722"/>
      <c r="F331" s="723"/>
    </row>
    <row r="332" spans="1:6" ht="36">
      <c r="A332" s="141">
        <v>2692</v>
      </c>
      <c r="B332" s="127" t="s">
        <v>129</v>
      </c>
      <c r="C332" s="110" t="s">
        <v>130</v>
      </c>
      <c r="D332" s="186">
        <v>0.1</v>
      </c>
      <c r="E332" s="112">
        <v>4.56</v>
      </c>
      <c r="F332" s="112">
        <f>D332*E332</f>
        <v>0.45599999999999996</v>
      </c>
    </row>
    <row r="333" spans="1:6" ht="36">
      <c r="A333" s="118">
        <v>4491</v>
      </c>
      <c r="B333" s="127" t="s">
        <v>179</v>
      </c>
      <c r="C333" s="110" t="s">
        <v>26</v>
      </c>
      <c r="D333" s="186">
        <v>0.285</v>
      </c>
      <c r="E333" s="112">
        <v>8.32</v>
      </c>
      <c r="F333" s="112">
        <f>D333*E333</f>
        <v>2.3712</v>
      </c>
    </row>
    <row r="334" spans="1:6" ht="36">
      <c r="A334" s="118">
        <v>4517</v>
      </c>
      <c r="B334" s="144" t="s">
        <v>180</v>
      </c>
      <c r="C334" s="110" t="s">
        <v>26</v>
      </c>
      <c r="D334" s="186">
        <v>0.27</v>
      </c>
      <c r="E334" s="112">
        <v>1.69</v>
      </c>
      <c r="F334" s="112">
        <f>D334*E334</f>
        <v>0.45630000000000004</v>
      </c>
    </row>
    <row r="335" spans="1:6" ht="18">
      <c r="A335" s="126">
        <v>5061</v>
      </c>
      <c r="B335" s="142" t="s">
        <v>181</v>
      </c>
      <c r="C335" s="110" t="s">
        <v>54</v>
      </c>
      <c r="D335" s="186">
        <v>0.15</v>
      </c>
      <c r="E335" s="112">
        <v>7.67</v>
      </c>
      <c r="F335" s="112">
        <f>D335*E335</f>
        <v>1.1504999999999999</v>
      </c>
    </row>
    <row r="336" spans="1:6" ht="36">
      <c r="A336" s="118">
        <v>6189</v>
      </c>
      <c r="B336" s="144" t="s">
        <v>133</v>
      </c>
      <c r="C336" s="110" t="s">
        <v>26</v>
      </c>
      <c r="D336" s="186">
        <v>0.495</v>
      </c>
      <c r="E336" s="112">
        <v>7.29</v>
      </c>
      <c r="F336" s="112">
        <f>D336*E336</f>
        <v>3.60855</v>
      </c>
    </row>
    <row r="337" spans="1:6" ht="18">
      <c r="A337" s="720" t="s">
        <v>103</v>
      </c>
      <c r="B337" s="722"/>
      <c r="C337" s="722"/>
      <c r="D337" s="722"/>
      <c r="E337" s="722"/>
      <c r="F337" s="723"/>
    </row>
    <row r="338" spans="1:6" ht="36">
      <c r="A338" s="108">
        <v>88239</v>
      </c>
      <c r="B338" s="109" t="s">
        <v>135</v>
      </c>
      <c r="C338" s="137" t="s">
        <v>88</v>
      </c>
      <c r="D338" s="186">
        <v>0.1875</v>
      </c>
      <c r="E338" s="112">
        <v>13.44</v>
      </c>
      <c r="F338" s="112">
        <f>D338*E338</f>
        <v>2.52</v>
      </c>
    </row>
    <row r="339" spans="1:6" ht="18">
      <c r="A339" s="118">
        <v>88262</v>
      </c>
      <c r="B339" s="119" t="s">
        <v>93</v>
      </c>
      <c r="C339" s="110" t="s">
        <v>88</v>
      </c>
      <c r="D339" s="187">
        <v>0.75</v>
      </c>
      <c r="E339" s="112">
        <v>16.35</v>
      </c>
      <c r="F339" s="112">
        <f>D339*E339</f>
        <v>12.262500000000001</v>
      </c>
    </row>
    <row r="340" spans="1:6" ht="18">
      <c r="A340" s="727"/>
      <c r="B340" s="728"/>
      <c r="C340" s="728"/>
      <c r="D340" s="728"/>
      <c r="E340" s="728"/>
      <c r="F340" s="729"/>
    </row>
    <row r="341" spans="1:6" ht="18">
      <c r="A341" s="730" t="str">
        <f>"BDI ("&amp;$H$2&amp;"%)"</f>
        <v>BDI (%)</v>
      </c>
      <c r="B341" s="731"/>
      <c r="C341" s="110" t="s">
        <v>80</v>
      </c>
      <c r="D341" s="188">
        <f>$H$2</f>
        <v>0</v>
      </c>
      <c r="E341" s="112">
        <f>SUM(F338:F339,F332:F336)</f>
        <v>22.82505</v>
      </c>
      <c r="F341" s="112">
        <f>D341*E341/100</f>
        <v>0</v>
      </c>
    </row>
    <row r="342" spans="1:6" ht="18">
      <c r="A342" s="689" t="s">
        <v>81</v>
      </c>
      <c r="B342" s="689"/>
      <c r="C342" s="114"/>
      <c r="D342" s="189"/>
      <c r="E342" s="116"/>
      <c r="F342" s="116">
        <f>E341+F341</f>
        <v>22.82505</v>
      </c>
    </row>
    <row r="343" spans="1:6" ht="18">
      <c r="A343" s="117"/>
      <c r="B343" s="117"/>
      <c r="C343" s="117"/>
      <c r="D343" s="117"/>
      <c r="E343" s="117"/>
      <c r="F343" s="117"/>
    </row>
    <row r="344" spans="1:6" ht="36">
      <c r="A344" s="102" t="s">
        <v>115</v>
      </c>
      <c r="B344" s="732" t="s">
        <v>182</v>
      </c>
      <c r="C344" s="733"/>
      <c r="D344" s="733"/>
      <c r="E344" s="733"/>
      <c r="F344" s="734"/>
    </row>
    <row r="345" spans="1:6" ht="36">
      <c r="A345" s="103" t="s">
        <v>99</v>
      </c>
      <c r="B345" s="104" t="s">
        <v>72</v>
      </c>
      <c r="C345" s="105" t="s">
        <v>73</v>
      </c>
      <c r="D345" s="106" t="s">
        <v>74</v>
      </c>
      <c r="E345" s="107" t="s">
        <v>75</v>
      </c>
      <c r="F345" s="107" t="s">
        <v>76</v>
      </c>
    </row>
    <row r="346" spans="1:6" ht="18">
      <c r="A346" s="720" t="s">
        <v>83</v>
      </c>
      <c r="B346" s="722"/>
      <c r="C346" s="722"/>
      <c r="D346" s="722"/>
      <c r="E346" s="722"/>
      <c r="F346" s="723"/>
    </row>
    <row r="347" spans="1:6" ht="18">
      <c r="A347" s="126">
        <v>33</v>
      </c>
      <c r="B347" s="127" t="s">
        <v>183</v>
      </c>
      <c r="C347" s="110" t="s">
        <v>54</v>
      </c>
      <c r="D347" s="111">
        <v>1.1</v>
      </c>
      <c r="E347" s="112">
        <v>3.77</v>
      </c>
      <c r="F347" s="112">
        <f>D347*E347</f>
        <v>4.147</v>
      </c>
    </row>
    <row r="348" spans="1:6" ht="18">
      <c r="A348" s="110">
        <v>337</v>
      </c>
      <c r="B348" s="127" t="s">
        <v>104</v>
      </c>
      <c r="C348" s="110" t="s">
        <v>54</v>
      </c>
      <c r="D348" s="111">
        <v>0.02</v>
      </c>
      <c r="E348" s="112">
        <v>9</v>
      </c>
      <c r="F348" s="112">
        <f>D348*E348</f>
        <v>0.18</v>
      </c>
    </row>
    <row r="349" spans="1:6" ht="18">
      <c r="A349" s="720" t="s">
        <v>103</v>
      </c>
      <c r="B349" s="722"/>
      <c r="C349" s="722"/>
      <c r="D349" s="722"/>
      <c r="E349" s="722"/>
      <c r="F349" s="723"/>
    </row>
    <row r="350" spans="1:6" ht="36">
      <c r="A350" s="141">
        <v>88238</v>
      </c>
      <c r="B350" s="109" t="s">
        <v>118</v>
      </c>
      <c r="C350" s="110" t="s">
        <v>88</v>
      </c>
      <c r="D350" s="111">
        <v>0.1</v>
      </c>
      <c r="E350" s="112">
        <v>10.13</v>
      </c>
      <c r="F350" s="112">
        <f>D350*E350</f>
        <v>1.0130000000000001</v>
      </c>
    </row>
    <row r="351" spans="1:6" ht="18">
      <c r="A351" s="118">
        <v>88245</v>
      </c>
      <c r="B351" s="109" t="s">
        <v>119</v>
      </c>
      <c r="C351" s="110" t="s">
        <v>88</v>
      </c>
      <c r="D351" s="138">
        <v>0.1</v>
      </c>
      <c r="E351" s="112">
        <v>12.51</v>
      </c>
      <c r="F351" s="112">
        <f>D351*E351</f>
        <v>1.2510000000000001</v>
      </c>
    </row>
    <row r="352" spans="1:6" ht="18">
      <c r="A352" s="727"/>
      <c r="B352" s="728"/>
      <c r="C352" s="728"/>
      <c r="D352" s="728"/>
      <c r="E352" s="728"/>
      <c r="F352" s="729"/>
    </row>
    <row r="353" spans="1:6" ht="18">
      <c r="A353" s="730" t="str">
        <f>"BDI ("&amp;$H$2&amp;"%)"</f>
        <v>BDI (%)</v>
      </c>
      <c r="B353" s="731"/>
      <c r="C353" s="110" t="s">
        <v>80</v>
      </c>
      <c r="D353" s="113">
        <f>$H$2</f>
        <v>0</v>
      </c>
      <c r="E353" s="112">
        <f>SUM(F347:F348,F350:F351)</f>
        <v>6.591</v>
      </c>
      <c r="F353" s="112">
        <f>D353*E353/100</f>
        <v>0</v>
      </c>
    </row>
    <row r="354" spans="1:6" ht="18">
      <c r="A354" s="689" t="s">
        <v>81</v>
      </c>
      <c r="B354" s="689"/>
      <c r="C354" s="114"/>
      <c r="D354" s="115"/>
      <c r="E354" s="116"/>
      <c r="F354" s="116">
        <f>E353+F353</f>
        <v>6.591</v>
      </c>
    </row>
    <row r="355" spans="1:6" ht="18">
      <c r="A355" s="120"/>
      <c r="B355" s="121"/>
      <c r="C355" s="122"/>
      <c r="D355" s="123"/>
      <c r="E355" s="124"/>
      <c r="F355" s="125"/>
    </row>
    <row r="356" spans="1:6" ht="36">
      <c r="A356" s="102" t="s">
        <v>115</v>
      </c>
      <c r="B356" s="732" t="s">
        <v>161</v>
      </c>
      <c r="C356" s="733"/>
      <c r="D356" s="733"/>
      <c r="E356" s="733"/>
      <c r="F356" s="734"/>
    </row>
    <row r="357" spans="1:6" ht="36">
      <c r="A357" s="103" t="s">
        <v>99</v>
      </c>
      <c r="B357" s="104" t="s">
        <v>72</v>
      </c>
      <c r="C357" s="105" t="s">
        <v>73</v>
      </c>
      <c r="D357" s="106" t="s">
        <v>74</v>
      </c>
      <c r="E357" s="107" t="s">
        <v>75</v>
      </c>
      <c r="F357" s="107" t="s">
        <v>76</v>
      </c>
    </row>
    <row r="358" spans="1:6" ht="18">
      <c r="A358" s="720" t="s">
        <v>83</v>
      </c>
      <c r="B358" s="722"/>
      <c r="C358" s="722"/>
      <c r="D358" s="722"/>
      <c r="E358" s="722"/>
      <c r="F358" s="723"/>
    </row>
    <row r="359" spans="1:6" ht="18">
      <c r="A359" s="126">
        <v>39</v>
      </c>
      <c r="B359" s="127" t="s">
        <v>117</v>
      </c>
      <c r="C359" s="110" t="s">
        <v>54</v>
      </c>
      <c r="D359" s="111">
        <v>1.1</v>
      </c>
      <c r="E359" s="112">
        <v>3.18</v>
      </c>
      <c r="F359" s="112">
        <f>D359*E359</f>
        <v>3.4980000000000007</v>
      </c>
    </row>
    <row r="360" spans="1:6" ht="18">
      <c r="A360" s="110">
        <v>337</v>
      </c>
      <c r="B360" s="127" t="s">
        <v>104</v>
      </c>
      <c r="C360" s="110" t="s">
        <v>54</v>
      </c>
      <c r="D360" s="111">
        <v>0.02</v>
      </c>
      <c r="E360" s="112">
        <v>9</v>
      </c>
      <c r="F360" s="112">
        <f>D360*E360</f>
        <v>0.18</v>
      </c>
    </row>
    <row r="361" spans="1:6" ht="18">
      <c r="A361" s="720" t="s">
        <v>103</v>
      </c>
      <c r="B361" s="722"/>
      <c r="C361" s="722"/>
      <c r="D361" s="722"/>
      <c r="E361" s="722"/>
      <c r="F361" s="723"/>
    </row>
    <row r="362" spans="1:6" ht="36">
      <c r="A362" s="141">
        <v>88238</v>
      </c>
      <c r="B362" s="109" t="s">
        <v>118</v>
      </c>
      <c r="C362" s="110" t="s">
        <v>88</v>
      </c>
      <c r="D362" s="111">
        <v>0.1</v>
      </c>
      <c r="E362" s="112">
        <v>10.13</v>
      </c>
      <c r="F362" s="112">
        <f>D362*E362</f>
        <v>1.0130000000000001</v>
      </c>
    </row>
    <row r="363" spans="1:6" ht="18">
      <c r="A363" s="118">
        <v>88245</v>
      </c>
      <c r="B363" s="109" t="s">
        <v>119</v>
      </c>
      <c r="C363" s="110" t="s">
        <v>88</v>
      </c>
      <c r="D363" s="138">
        <v>0.1</v>
      </c>
      <c r="E363" s="112">
        <v>12.51</v>
      </c>
      <c r="F363" s="112">
        <f>D363*E363</f>
        <v>1.2510000000000001</v>
      </c>
    </row>
    <row r="364" spans="1:6" ht="18">
      <c r="A364" s="727"/>
      <c r="B364" s="728"/>
      <c r="C364" s="728"/>
      <c r="D364" s="728"/>
      <c r="E364" s="728"/>
      <c r="F364" s="729"/>
    </row>
    <row r="365" spans="1:6" ht="18">
      <c r="A365" s="730" t="str">
        <f>"BDI ("&amp;$H$2&amp;"%)"</f>
        <v>BDI (%)</v>
      </c>
      <c r="B365" s="731"/>
      <c r="C365" s="110" t="s">
        <v>80</v>
      </c>
      <c r="D365" s="113">
        <f>$H$2</f>
        <v>0</v>
      </c>
      <c r="E365" s="112">
        <f>SUM(F359:F360,F362:F363)</f>
        <v>5.942000000000001</v>
      </c>
      <c r="F365" s="112">
        <f>D365*E365/100</f>
        <v>0</v>
      </c>
    </row>
    <row r="366" spans="1:6" ht="18">
      <c r="A366" s="689" t="s">
        <v>81</v>
      </c>
      <c r="B366" s="689"/>
      <c r="C366" s="114"/>
      <c r="D366" s="115"/>
      <c r="E366" s="116"/>
      <c r="F366" s="116">
        <f>E365+F365</f>
        <v>5.942000000000001</v>
      </c>
    </row>
    <row r="367" spans="1:6" ht="18">
      <c r="A367" s="117"/>
      <c r="B367" s="117"/>
      <c r="C367" s="117"/>
      <c r="D367" s="117"/>
      <c r="E367" s="117"/>
      <c r="F367" s="117"/>
    </row>
    <row r="368" spans="1:6" ht="18">
      <c r="A368" s="170"/>
      <c r="B368" s="170"/>
      <c r="C368" s="171"/>
      <c r="D368" s="172"/>
      <c r="E368" s="173"/>
      <c r="F368" s="173"/>
    </row>
    <row r="369" spans="1:6" ht="36">
      <c r="A369" s="102" t="s">
        <v>185</v>
      </c>
      <c r="B369" s="732" t="s">
        <v>186</v>
      </c>
      <c r="C369" s="733"/>
      <c r="D369" s="733"/>
      <c r="E369" s="733"/>
      <c r="F369" s="734"/>
    </row>
    <row r="370" spans="1:6" ht="36">
      <c r="A370" s="103" t="s">
        <v>99</v>
      </c>
      <c r="B370" s="105" t="s">
        <v>72</v>
      </c>
      <c r="C370" s="105" t="s">
        <v>73</v>
      </c>
      <c r="D370" s="106" t="s">
        <v>74</v>
      </c>
      <c r="E370" s="107" t="s">
        <v>75</v>
      </c>
      <c r="F370" s="107" t="s">
        <v>76</v>
      </c>
    </row>
    <row r="371" spans="1:6" ht="18">
      <c r="A371" s="685" t="s">
        <v>83</v>
      </c>
      <c r="B371" s="685"/>
      <c r="C371" s="685"/>
      <c r="D371" s="685"/>
      <c r="E371" s="685"/>
      <c r="F371" s="685"/>
    </row>
    <row r="372" spans="1:6" ht="18">
      <c r="A372" s="126">
        <v>1379</v>
      </c>
      <c r="B372" s="127" t="s">
        <v>90</v>
      </c>
      <c r="C372" s="110" t="s">
        <v>54</v>
      </c>
      <c r="D372" s="111">
        <v>435.03</v>
      </c>
      <c r="E372" s="112">
        <v>0.56</v>
      </c>
      <c r="F372" s="112">
        <f>D372*E372</f>
        <v>243.6168</v>
      </c>
    </row>
    <row r="373" spans="1:6" ht="18">
      <c r="A373" s="126">
        <v>370</v>
      </c>
      <c r="B373" s="127" t="s">
        <v>100</v>
      </c>
      <c r="C373" s="110" t="s">
        <v>7</v>
      </c>
      <c r="D373" s="111">
        <v>1.51</v>
      </c>
      <c r="E373" s="112">
        <v>26</v>
      </c>
      <c r="F373" s="112">
        <f>D373*E373</f>
        <v>39.26</v>
      </c>
    </row>
    <row r="374" spans="1:6" ht="18">
      <c r="A374" s="685" t="s">
        <v>103</v>
      </c>
      <c r="B374" s="685"/>
      <c r="C374" s="685"/>
      <c r="D374" s="685"/>
      <c r="E374" s="685"/>
      <c r="F374" s="685"/>
    </row>
    <row r="375" spans="1:6" ht="18">
      <c r="A375" s="110">
        <v>88316</v>
      </c>
      <c r="B375" s="127" t="s">
        <v>95</v>
      </c>
      <c r="C375" s="110" t="s">
        <v>88</v>
      </c>
      <c r="D375" s="111">
        <v>11.49</v>
      </c>
      <c r="E375" s="112">
        <v>9.68</v>
      </c>
      <c r="F375" s="112">
        <f>D375*E375</f>
        <v>111.2232</v>
      </c>
    </row>
    <row r="376" spans="1:6" ht="18">
      <c r="A376" s="689" t="s">
        <v>81</v>
      </c>
      <c r="B376" s="689"/>
      <c r="C376" s="114"/>
      <c r="D376" s="115"/>
      <c r="E376" s="116"/>
      <c r="F376" s="116">
        <f>SUM(F372:F373,F375:F375)</f>
        <v>394.1</v>
      </c>
    </row>
    <row r="377" spans="1:6" ht="18">
      <c r="A377" s="170"/>
      <c r="B377" s="170"/>
      <c r="C377" s="171"/>
      <c r="D377" s="172"/>
      <c r="E377" s="173"/>
      <c r="F377" s="173"/>
    </row>
    <row r="378" spans="1:6" ht="36">
      <c r="A378" s="102" t="s">
        <v>187</v>
      </c>
      <c r="B378" s="687" t="s">
        <v>188</v>
      </c>
      <c r="C378" s="687"/>
      <c r="D378" s="687"/>
      <c r="E378" s="687"/>
      <c r="F378" s="687"/>
    </row>
    <row r="379" spans="1:6" ht="36">
      <c r="A379" s="126" t="s">
        <v>99</v>
      </c>
      <c r="B379" s="105" t="s">
        <v>72</v>
      </c>
      <c r="C379" s="105" t="s">
        <v>73</v>
      </c>
      <c r="D379" s="106" t="s">
        <v>74</v>
      </c>
      <c r="E379" s="107" t="s">
        <v>75</v>
      </c>
      <c r="F379" s="107" t="s">
        <v>76</v>
      </c>
    </row>
    <row r="380" spans="1:6" ht="18">
      <c r="A380" s="724" t="s">
        <v>83</v>
      </c>
      <c r="B380" s="725"/>
      <c r="C380" s="725"/>
      <c r="D380" s="725"/>
      <c r="E380" s="725"/>
      <c r="F380" s="726"/>
    </row>
    <row r="381" spans="1:6" ht="36">
      <c r="A381" s="118">
        <v>87373</v>
      </c>
      <c r="B381" s="109" t="s">
        <v>189</v>
      </c>
      <c r="C381" s="110" t="s">
        <v>7</v>
      </c>
      <c r="D381" s="111">
        <v>0.02</v>
      </c>
      <c r="E381" s="112">
        <f>F376</f>
        <v>394.1</v>
      </c>
      <c r="F381" s="112">
        <f>ROUNDUP((D381*E381),2)</f>
        <v>7.89</v>
      </c>
    </row>
    <row r="382" spans="1:6" ht="36">
      <c r="A382" s="118">
        <v>3671</v>
      </c>
      <c r="B382" s="109" t="s">
        <v>190</v>
      </c>
      <c r="C382" s="110" t="s">
        <v>26</v>
      </c>
      <c r="D382" s="111">
        <v>1</v>
      </c>
      <c r="E382" s="112">
        <v>0.88</v>
      </c>
      <c r="F382" s="112">
        <f>ROUNDUP((D382*E382),2)</f>
        <v>0.88</v>
      </c>
    </row>
    <row r="383" spans="1:6" ht="36">
      <c r="A383" s="110">
        <v>4786</v>
      </c>
      <c r="B383" s="127" t="s">
        <v>191</v>
      </c>
      <c r="C383" s="110" t="s">
        <v>4</v>
      </c>
      <c r="D383" s="111">
        <v>1</v>
      </c>
      <c r="E383" s="112">
        <v>29</v>
      </c>
      <c r="F383" s="112">
        <f>ROUNDUP((D383*E383),2)</f>
        <v>29</v>
      </c>
    </row>
    <row r="384" spans="1:6" ht="18">
      <c r="A384" s="685" t="s">
        <v>103</v>
      </c>
      <c r="B384" s="685"/>
      <c r="C384" s="685"/>
      <c r="D384" s="685"/>
      <c r="E384" s="685"/>
      <c r="F384" s="685"/>
    </row>
    <row r="385" spans="1:6" ht="18">
      <c r="A385" s="110">
        <v>88309</v>
      </c>
      <c r="B385" s="146" t="s">
        <v>94</v>
      </c>
      <c r="C385" s="110" t="s">
        <v>88</v>
      </c>
      <c r="D385" s="111">
        <v>0.6</v>
      </c>
      <c r="E385" s="112">
        <v>12.51</v>
      </c>
      <c r="F385" s="112">
        <f>ROUNDUP((D385*E385),2)</f>
        <v>7.51</v>
      </c>
    </row>
    <row r="386" spans="1:6" ht="18">
      <c r="A386" s="110">
        <v>88316</v>
      </c>
      <c r="B386" s="127" t="s">
        <v>95</v>
      </c>
      <c r="C386" s="110" t="s">
        <v>88</v>
      </c>
      <c r="D386" s="111">
        <v>0.3</v>
      </c>
      <c r="E386" s="112">
        <v>9.68</v>
      </c>
      <c r="F386" s="112">
        <f>ROUNDUP((D386*E386),2)</f>
        <v>2.9099999999999997</v>
      </c>
    </row>
    <row r="387" spans="1:6" ht="18">
      <c r="A387" s="771"/>
      <c r="B387" s="771"/>
      <c r="C387" s="771"/>
      <c r="D387" s="771"/>
      <c r="E387" s="771"/>
      <c r="F387" s="771"/>
    </row>
    <row r="388" spans="1:6" ht="18">
      <c r="A388" s="682" t="str">
        <f>"BDI ("&amp;$H$2&amp;"%)"</f>
        <v>BDI (%)</v>
      </c>
      <c r="B388" s="682"/>
      <c r="C388" s="110" t="s">
        <v>80</v>
      </c>
      <c r="D388" s="113">
        <f>$H$2</f>
        <v>0</v>
      </c>
      <c r="E388" s="112">
        <f>SUM(F381:F383,F385:F386)</f>
        <v>48.18999999999999</v>
      </c>
      <c r="F388" s="112">
        <f>D388*E388/100</f>
        <v>0</v>
      </c>
    </row>
    <row r="389" spans="1:6" ht="18">
      <c r="A389" s="689" t="s">
        <v>81</v>
      </c>
      <c r="B389" s="689"/>
      <c r="C389" s="114"/>
      <c r="D389" s="115"/>
      <c r="E389" s="116"/>
      <c r="F389" s="116">
        <f>E388+F388</f>
        <v>48.18999999999999</v>
      </c>
    </row>
    <row r="390" spans="1:6" ht="18">
      <c r="A390" s="170"/>
      <c r="B390" s="170"/>
      <c r="C390" s="171"/>
      <c r="D390" s="172"/>
      <c r="E390" s="173"/>
      <c r="F390" s="173"/>
    </row>
    <row r="391" spans="1:6" ht="15.75">
      <c r="A391" s="190" t="s">
        <v>164</v>
      </c>
      <c r="B391" s="768" t="s">
        <v>165</v>
      </c>
      <c r="C391" s="769"/>
      <c r="D391" s="769"/>
      <c r="E391" s="769"/>
      <c r="F391" s="770"/>
    </row>
    <row r="392" spans="1:6" ht="30">
      <c r="A392" s="93" t="s">
        <v>99</v>
      </c>
      <c r="B392" s="84" t="s">
        <v>72</v>
      </c>
      <c r="C392" s="75" t="s">
        <v>73</v>
      </c>
      <c r="D392" s="85" t="s">
        <v>74</v>
      </c>
      <c r="E392" s="86" t="s">
        <v>75</v>
      </c>
      <c r="F392" s="86" t="s">
        <v>76</v>
      </c>
    </row>
    <row r="393" spans="1:6" ht="15">
      <c r="A393" s="762" t="s">
        <v>83</v>
      </c>
      <c r="B393" s="763"/>
      <c r="C393" s="763"/>
      <c r="D393" s="763"/>
      <c r="E393" s="763"/>
      <c r="F393" s="764"/>
    </row>
    <row r="394" spans="1:6" ht="15">
      <c r="A394" s="58">
        <v>370</v>
      </c>
      <c r="B394" s="191" t="s">
        <v>100</v>
      </c>
      <c r="C394" s="89" t="s">
        <v>7</v>
      </c>
      <c r="D394" s="90">
        <v>1.29</v>
      </c>
      <c r="E394" s="91">
        <v>60</v>
      </c>
      <c r="F394" s="91">
        <f>D394*E394</f>
        <v>77.4</v>
      </c>
    </row>
    <row r="395" spans="1:6" ht="15">
      <c r="A395" s="192">
        <v>1379</v>
      </c>
      <c r="B395" s="191" t="s">
        <v>90</v>
      </c>
      <c r="C395" s="89" t="s">
        <v>54</v>
      </c>
      <c r="D395" s="90">
        <v>185.63</v>
      </c>
      <c r="E395" s="91">
        <v>0.56</v>
      </c>
      <c r="F395" s="91">
        <f aca="true" t="shared" si="4" ref="F395:F396">D395*E395</f>
        <v>103.95280000000001</v>
      </c>
    </row>
    <row r="396" spans="1:6" ht="15">
      <c r="A396" s="58">
        <v>1106</v>
      </c>
      <c r="B396" s="193" t="s">
        <v>166</v>
      </c>
      <c r="C396" s="89" t="s">
        <v>54</v>
      </c>
      <c r="D396" s="90">
        <v>193.7</v>
      </c>
      <c r="E396" s="91">
        <v>0.5</v>
      </c>
      <c r="F396" s="91">
        <f t="shared" si="4"/>
        <v>96.85</v>
      </c>
    </row>
    <row r="397" spans="1:6" ht="15">
      <c r="A397" s="762" t="s">
        <v>102</v>
      </c>
      <c r="B397" s="763"/>
      <c r="C397" s="763"/>
      <c r="D397" s="763"/>
      <c r="E397" s="763"/>
      <c r="F397" s="764"/>
    </row>
    <row r="398" spans="1:6" ht="45">
      <c r="A398" s="89">
        <v>88830</v>
      </c>
      <c r="B398" s="193" t="s">
        <v>167</v>
      </c>
      <c r="C398" s="89" t="s">
        <v>168</v>
      </c>
      <c r="D398" s="90">
        <v>1.11</v>
      </c>
      <c r="E398" s="91">
        <v>1.02</v>
      </c>
      <c r="F398" s="91">
        <f>ROUNDUP((D398*E398),2)</f>
        <v>1.14</v>
      </c>
    </row>
    <row r="399" spans="1:6" ht="45">
      <c r="A399" s="194">
        <v>88831</v>
      </c>
      <c r="B399" s="195" t="s">
        <v>169</v>
      </c>
      <c r="C399" s="194" t="s">
        <v>170</v>
      </c>
      <c r="D399" s="196">
        <v>3.64</v>
      </c>
      <c r="E399" s="197">
        <v>0.26</v>
      </c>
      <c r="F399" s="91">
        <f>ROUNDUP((D399*E399),2)</f>
        <v>0.95</v>
      </c>
    </row>
    <row r="400" spans="1:6" ht="15">
      <c r="A400" s="765" t="s">
        <v>103</v>
      </c>
      <c r="B400" s="765"/>
      <c r="C400" s="765"/>
      <c r="D400" s="765"/>
      <c r="E400" s="765"/>
      <c r="F400" s="765"/>
    </row>
    <row r="401" spans="1:6" ht="30">
      <c r="A401" s="89">
        <v>88377</v>
      </c>
      <c r="B401" s="191" t="s">
        <v>171</v>
      </c>
      <c r="C401" s="89" t="s">
        <v>88</v>
      </c>
      <c r="D401" s="198">
        <v>4.75</v>
      </c>
      <c r="E401" s="91">
        <v>13.03</v>
      </c>
      <c r="F401" s="91">
        <f>D401*E401</f>
        <v>61.8925</v>
      </c>
    </row>
    <row r="402" spans="1:6" ht="15">
      <c r="A402" s="766"/>
      <c r="B402" s="766"/>
      <c r="C402" s="766"/>
      <c r="D402" s="766"/>
      <c r="E402" s="766"/>
      <c r="F402" s="766"/>
    </row>
    <row r="403" spans="1:6" ht="15.75">
      <c r="A403" s="767" t="s">
        <v>81</v>
      </c>
      <c r="B403" s="767"/>
      <c r="C403" s="199"/>
      <c r="D403" s="200"/>
      <c r="E403" s="201"/>
      <c r="F403" s="201">
        <f>SUM(F394:F396,F398:F399,F401)</f>
        <v>342.1853</v>
      </c>
    </row>
    <row r="404" spans="1:6" ht="15.75">
      <c r="A404" s="52"/>
      <c r="B404" s="52"/>
      <c r="C404" s="53"/>
      <c r="D404" s="202"/>
      <c r="E404" s="55"/>
      <c r="F404" s="55"/>
    </row>
    <row r="405" spans="1:6" ht="15.75">
      <c r="A405" s="83" t="s">
        <v>192</v>
      </c>
      <c r="B405" s="717" t="s">
        <v>193</v>
      </c>
      <c r="C405" s="717"/>
      <c r="D405" s="717"/>
      <c r="E405" s="717"/>
      <c r="F405" s="717"/>
    </row>
    <row r="406" spans="1:6" ht="30">
      <c r="A406" s="93" t="s">
        <v>99</v>
      </c>
      <c r="B406" s="75" t="s">
        <v>72</v>
      </c>
      <c r="C406" s="75" t="s">
        <v>73</v>
      </c>
      <c r="D406" s="85" t="s">
        <v>74</v>
      </c>
      <c r="E406" s="86" t="s">
        <v>75</v>
      </c>
      <c r="F406" s="86" t="s">
        <v>76</v>
      </c>
    </row>
    <row r="407" spans="1:6" ht="15">
      <c r="A407" s="761" t="s">
        <v>83</v>
      </c>
      <c r="B407" s="761"/>
      <c r="C407" s="761"/>
      <c r="D407" s="761"/>
      <c r="E407" s="761"/>
      <c r="F407" s="761"/>
    </row>
    <row r="408" spans="1:6" ht="15">
      <c r="A408" s="58">
        <v>1379</v>
      </c>
      <c r="B408" s="191" t="s">
        <v>90</v>
      </c>
      <c r="C408" s="89" t="s">
        <v>54</v>
      </c>
      <c r="D408" s="90">
        <v>355.04</v>
      </c>
      <c r="E408" s="91">
        <v>0.56</v>
      </c>
      <c r="F408" s="46">
        <f>E408*D408</f>
        <v>198.82240000000004</v>
      </c>
    </row>
    <row r="409" spans="1:6" ht="15">
      <c r="A409" s="58">
        <v>370</v>
      </c>
      <c r="B409" s="76" t="s">
        <v>100</v>
      </c>
      <c r="C409" s="44" t="s">
        <v>7</v>
      </c>
      <c r="D409" s="90">
        <v>1.23</v>
      </c>
      <c r="E409" s="91">
        <v>60</v>
      </c>
      <c r="F409" s="46">
        <f>E409*D409</f>
        <v>73.8</v>
      </c>
    </row>
    <row r="410" spans="1:6" ht="15">
      <c r="A410" s="714" t="s">
        <v>103</v>
      </c>
      <c r="B410" s="714"/>
      <c r="C410" s="714"/>
      <c r="D410" s="714"/>
      <c r="E410" s="714"/>
      <c r="F410" s="714"/>
    </row>
    <row r="411" spans="1:6" ht="30">
      <c r="A411" s="44">
        <v>88297</v>
      </c>
      <c r="B411" s="76" t="s">
        <v>194</v>
      </c>
      <c r="C411" s="89" t="s">
        <v>88</v>
      </c>
      <c r="D411" s="90">
        <v>8.59</v>
      </c>
      <c r="E411" s="91">
        <v>17.36</v>
      </c>
      <c r="F411" s="46">
        <f>D411*E411</f>
        <v>149.1224</v>
      </c>
    </row>
    <row r="412" spans="1:6" ht="15.75">
      <c r="A412" s="704" t="s">
        <v>81</v>
      </c>
      <c r="B412" s="704"/>
      <c r="C412" s="48"/>
      <c r="D412" s="92"/>
      <c r="E412" s="50"/>
      <c r="F412" s="50">
        <f>SUM(F408:F409,F411)</f>
        <v>421.74480000000005</v>
      </c>
    </row>
    <row r="413" spans="1:6" ht="15">
      <c r="A413" s="203"/>
      <c r="B413" s="203"/>
      <c r="C413" s="203"/>
      <c r="D413" s="203"/>
      <c r="E413" s="203"/>
      <c r="F413" s="203"/>
    </row>
    <row r="414" spans="1:6" ht="31.5">
      <c r="A414" s="83" t="s">
        <v>195</v>
      </c>
      <c r="B414" s="705" t="s">
        <v>196</v>
      </c>
      <c r="C414" s="706"/>
      <c r="D414" s="706"/>
      <c r="E414" s="706"/>
      <c r="F414" s="707"/>
    </row>
    <row r="415" spans="1:6" ht="30">
      <c r="A415" s="93" t="s">
        <v>99</v>
      </c>
      <c r="B415" s="75" t="s">
        <v>72</v>
      </c>
      <c r="C415" s="75" t="s">
        <v>73</v>
      </c>
      <c r="D415" s="85" t="s">
        <v>74</v>
      </c>
      <c r="E415" s="86" t="s">
        <v>75</v>
      </c>
      <c r="F415" s="86" t="s">
        <v>76</v>
      </c>
    </row>
    <row r="416" spans="1:6" ht="15">
      <c r="A416" s="696" t="s">
        <v>83</v>
      </c>
      <c r="B416" s="697"/>
      <c r="C416" s="697"/>
      <c r="D416" s="697"/>
      <c r="E416" s="697"/>
      <c r="F416" s="698"/>
    </row>
    <row r="417" spans="1:6" ht="30">
      <c r="A417" s="44">
        <v>88631</v>
      </c>
      <c r="B417" s="76" t="s">
        <v>197</v>
      </c>
      <c r="C417" s="44" t="s">
        <v>7</v>
      </c>
      <c r="D417" s="64">
        <v>0.02</v>
      </c>
      <c r="E417" s="46">
        <f>F412</f>
        <v>421.74480000000005</v>
      </c>
      <c r="F417" s="46">
        <f>E417*D417</f>
        <v>8.434896000000002</v>
      </c>
    </row>
    <row r="418" spans="1:6" ht="15">
      <c r="A418" s="696" t="s">
        <v>103</v>
      </c>
      <c r="B418" s="697"/>
      <c r="C418" s="697"/>
      <c r="D418" s="697"/>
      <c r="E418" s="697"/>
      <c r="F418" s="698"/>
    </row>
    <row r="419" spans="1:6" ht="15">
      <c r="A419" s="87">
        <v>88309</v>
      </c>
      <c r="B419" s="78" t="s">
        <v>94</v>
      </c>
      <c r="C419" s="44" t="s">
        <v>88</v>
      </c>
      <c r="D419" s="64">
        <v>1</v>
      </c>
      <c r="E419" s="46">
        <v>16.44</v>
      </c>
      <c r="F419" s="46">
        <f aca="true" t="shared" si="5" ref="F419:F420">E419*D419</f>
        <v>16.44</v>
      </c>
    </row>
    <row r="420" spans="1:6" ht="15">
      <c r="A420" s="87">
        <v>88316</v>
      </c>
      <c r="B420" s="88" t="s">
        <v>95</v>
      </c>
      <c r="C420" s="89" t="s">
        <v>88</v>
      </c>
      <c r="D420" s="90">
        <v>1</v>
      </c>
      <c r="E420" s="91">
        <v>13.03</v>
      </c>
      <c r="F420" s="46">
        <f t="shared" si="5"/>
        <v>13.03</v>
      </c>
    </row>
    <row r="421" spans="1:6" ht="15">
      <c r="A421" s="708"/>
      <c r="B421" s="709"/>
      <c r="C421" s="709"/>
      <c r="D421" s="709"/>
      <c r="E421" s="709"/>
      <c r="F421" s="710"/>
    </row>
    <row r="422" spans="1:6" ht="15">
      <c r="A422" s="759" t="s">
        <v>424</v>
      </c>
      <c r="B422" s="760"/>
      <c r="C422" s="44" t="s">
        <v>80</v>
      </c>
      <c r="D422" s="45"/>
      <c r="E422" s="46">
        <f>SUM(F419:F420,F417)</f>
        <v>37.904896</v>
      </c>
      <c r="F422" s="46">
        <f>E422*D422/100</f>
        <v>0</v>
      </c>
    </row>
    <row r="423" spans="1:6" ht="15.75">
      <c r="A423" s="712" t="s">
        <v>81</v>
      </c>
      <c r="B423" s="713"/>
      <c r="C423" s="48"/>
      <c r="D423" s="92"/>
      <c r="E423" s="50"/>
      <c r="F423" s="50">
        <f>F422+E422</f>
        <v>37.904896</v>
      </c>
    </row>
    <row r="426" spans="1:6" ht="15.75" customHeight="1">
      <c r="A426" s="83" t="s">
        <v>107</v>
      </c>
      <c r="B426" s="705" t="s">
        <v>198</v>
      </c>
      <c r="C426" s="706"/>
      <c r="D426" s="706"/>
      <c r="E426" s="706"/>
      <c r="F426" s="707"/>
    </row>
    <row r="427" spans="1:6" ht="30">
      <c r="A427" s="58" t="s">
        <v>99</v>
      </c>
      <c r="B427" s="75" t="s">
        <v>72</v>
      </c>
      <c r="C427" s="75" t="s">
        <v>73</v>
      </c>
      <c r="D427" s="85" t="s">
        <v>74</v>
      </c>
      <c r="E427" s="86" t="s">
        <v>75</v>
      </c>
      <c r="F427" s="86" t="s">
        <v>76</v>
      </c>
    </row>
    <row r="428" spans="1:6" ht="15" customHeight="1">
      <c r="A428" s="696" t="s">
        <v>199</v>
      </c>
      <c r="B428" s="697"/>
      <c r="C428" s="697"/>
      <c r="D428" s="697"/>
      <c r="E428" s="697"/>
      <c r="F428" s="698"/>
    </row>
    <row r="429" spans="1:6" ht="15">
      <c r="A429" s="44" t="s">
        <v>425</v>
      </c>
      <c r="B429" s="76" t="s">
        <v>200</v>
      </c>
      <c r="C429" s="44" t="s">
        <v>201</v>
      </c>
      <c r="D429" s="64">
        <f>0.25*1*0.3</f>
        <v>0.075</v>
      </c>
      <c r="E429" s="46" t="e">
        <f>#REF!</f>
        <v>#REF!</v>
      </c>
      <c r="F429" s="46" t="e">
        <f>E429*D429</f>
        <v>#REF!</v>
      </c>
    </row>
    <row r="430" spans="1:6" ht="15">
      <c r="A430" s="44" t="s">
        <v>202</v>
      </c>
      <c r="B430" s="76" t="s">
        <v>203</v>
      </c>
      <c r="C430" s="44" t="s">
        <v>201</v>
      </c>
      <c r="D430" s="64">
        <v>1</v>
      </c>
      <c r="E430" s="46">
        <f>F423</f>
        <v>37.904896</v>
      </c>
      <c r="F430" s="46">
        <f>E430*D430</f>
        <v>37.904896</v>
      </c>
    </row>
    <row r="431" spans="1:6" ht="15">
      <c r="A431" s="44" t="s">
        <v>69</v>
      </c>
      <c r="B431" s="204" t="s">
        <v>204</v>
      </c>
      <c r="C431" s="44" t="s">
        <v>163</v>
      </c>
      <c r="D431" s="64">
        <f>0.25*1*1</f>
        <v>0.25</v>
      </c>
      <c r="E431" s="46" t="e">
        <f>#REF!</f>
        <v>#REF!</v>
      </c>
      <c r="F431" s="46" t="e">
        <f>E431*D431</f>
        <v>#REF!</v>
      </c>
    </row>
    <row r="432" spans="1:6" ht="15">
      <c r="A432" s="699"/>
      <c r="B432" s="700"/>
      <c r="C432" s="700"/>
      <c r="D432" s="700"/>
      <c r="E432" s="700"/>
      <c r="F432" s="701"/>
    </row>
    <row r="433" spans="1:6" ht="15">
      <c r="A433" s="759" t="s">
        <v>424</v>
      </c>
      <c r="B433" s="760"/>
      <c r="C433" s="44" t="s">
        <v>80</v>
      </c>
      <c r="D433" s="45"/>
      <c r="E433" s="46" t="e">
        <f>SUM(F429:F431)</f>
        <v>#REF!</v>
      </c>
      <c r="F433" s="46"/>
    </row>
    <row r="434" spans="1:6" ht="15.75">
      <c r="A434" s="712" t="s">
        <v>81</v>
      </c>
      <c r="B434" s="713"/>
      <c r="C434" s="48"/>
      <c r="D434" s="92"/>
      <c r="E434" s="50"/>
      <c r="F434" s="50" t="e">
        <f>F433+E433</f>
        <v>#REF!</v>
      </c>
    </row>
    <row r="435" spans="1:6" ht="18">
      <c r="A435" s="117"/>
      <c r="B435" s="117"/>
      <c r="C435" s="117"/>
      <c r="D435" s="117"/>
      <c r="E435" s="117"/>
      <c r="F435" s="117"/>
    </row>
    <row r="437" spans="1:6" ht="15.75">
      <c r="A437" s="83" t="s">
        <v>205</v>
      </c>
      <c r="B437" s="705" t="s">
        <v>206</v>
      </c>
      <c r="C437" s="706"/>
      <c r="D437" s="706"/>
      <c r="E437" s="706"/>
      <c r="F437" s="707"/>
    </row>
    <row r="438" spans="1:6" ht="30">
      <c r="A438" s="93" t="s">
        <v>99</v>
      </c>
      <c r="B438" s="84" t="s">
        <v>72</v>
      </c>
      <c r="C438" s="75" t="s">
        <v>73</v>
      </c>
      <c r="D438" s="85" t="s">
        <v>74</v>
      </c>
      <c r="E438" s="86" t="s">
        <v>75</v>
      </c>
      <c r="F438" s="86" t="s">
        <v>76</v>
      </c>
    </row>
    <row r="439" spans="1:6" ht="15">
      <c r="A439" s="696" t="s">
        <v>83</v>
      </c>
      <c r="B439" s="697"/>
      <c r="C439" s="697"/>
      <c r="D439" s="697"/>
      <c r="E439" s="697"/>
      <c r="F439" s="698"/>
    </row>
    <row r="440" spans="1:6" ht="15">
      <c r="A440" s="58">
        <v>1379</v>
      </c>
      <c r="B440" s="74" t="s">
        <v>90</v>
      </c>
      <c r="C440" s="44" t="s">
        <v>54</v>
      </c>
      <c r="D440" s="64">
        <v>441.51</v>
      </c>
      <c r="E440" s="46">
        <v>0.56</v>
      </c>
      <c r="F440" s="46">
        <f>D440*E440</f>
        <v>247.24560000000002</v>
      </c>
    </row>
    <row r="441" spans="1:6" ht="15">
      <c r="A441" s="58">
        <v>370</v>
      </c>
      <c r="B441" s="76" t="s">
        <v>100</v>
      </c>
      <c r="C441" s="44" t="s">
        <v>7</v>
      </c>
      <c r="D441" s="205">
        <v>1.15</v>
      </c>
      <c r="E441" s="46">
        <v>26</v>
      </c>
      <c r="F441" s="46">
        <f>D441*E441</f>
        <v>29.9</v>
      </c>
    </row>
    <row r="442" spans="1:6" ht="15">
      <c r="A442" s="696" t="s">
        <v>103</v>
      </c>
      <c r="B442" s="697"/>
      <c r="C442" s="697"/>
      <c r="D442" s="697"/>
      <c r="E442" s="697"/>
      <c r="F442" s="698"/>
    </row>
    <row r="443" spans="1:6" ht="15">
      <c r="A443" s="87">
        <v>88297</v>
      </c>
      <c r="B443" s="78" t="s">
        <v>194</v>
      </c>
      <c r="C443" s="44" t="s">
        <v>88</v>
      </c>
      <c r="D443" s="205">
        <v>8.48</v>
      </c>
      <c r="E443" s="46">
        <v>17.01</v>
      </c>
      <c r="F443" s="46">
        <f>D443*E443</f>
        <v>144.24480000000003</v>
      </c>
    </row>
    <row r="444" spans="1:6" ht="15.75">
      <c r="A444" s="712" t="s">
        <v>81</v>
      </c>
      <c r="B444" s="713"/>
      <c r="C444" s="48"/>
      <c r="D444" s="92"/>
      <c r="E444" s="50"/>
      <c r="F444" s="50">
        <f>SUM(F440:F441,F443:F443)</f>
        <v>421.3904</v>
      </c>
    </row>
    <row r="445" spans="1:6" ht="15.75">
      <c r="A445" s="52"/>
      <c r="B445" s="52"/>
      <c r="C445" s="53"/>
      <c r="D445" s="202"/>
      <c r="E445" s="55"/>
      <c r="F445" s="55"/>
    </row>
    <row r="446" spans="1:6" ht="15.75">
      <c r="A446" s="83" t="s">
        <v>207</v>
      </c>
      <c r="B446" s="705" t="s">
        <v>208</v>
      </c>
      <c r="C446" s="706"/>
      <c r="D446" s="706"/>
      <c r="E446" s="706"/>
      <c r="F446" s="707"/>
    </row>
    <row r="447" spans="1:6" ht="30">
      <c r="A447" s="93" t="s">
        <v>99</v>
      </c>
      <c r="B447" s="84" t="s">
        <v>72</v>
      </c>
      <c r="C447" s="75" t="s">
        <v>73</v>
      </c>
      <c r="D447" s="85" t="s">
        <v>74</v>
      </c>
      <c r="E447" s="86" t="s">
        <v>75</v>
      </c>
      <c r="F447" s="86" t="s">
        <v>76</v>
      </c>
    </row>
    <row r="448" spans="1:6" ht="15">
      <c r="A448" s="753" t="s">
        <v>83</v>
      </c>
      <c r="B448" s="754"/>
      <c r="C448" s="754"/>
      <c r="D448" s="754"/>
      <c r="E448" s="754"/>
      <c r="F448" s="755"/>
    </row>
    <row r="449" spans="1:6" ht="15">
      <c r="A449" s="87">
        <v>88629</v>
      </c>
      <c r="B449" s="78" t="s">
        <v>209</v>
      </c>
      <c r="C449" s="44" t="s">
        <v>7</v>
      </c>
      <c r="D449" s="206">
        <v>0.0042</v>
      </c>
      <c r="E449" s="207">
        <f>F444</f>
        <v>421.3904</v>
      </c>
      <c r="F449" s="46">
        <f>D449*E449</f>
        <v>1.7698396799999998</v>
      </c>
    </row>
    <row r="450" spans="1:6" ht="15">
      <c r="A450" s="756" t="s">
        <v>103</v>
      </c>
      <c r="B450" s="757"/>
      <c r="C450" s="757"/>
      <c r="D450" s="757"/>
      <c r="E450" s="757"/>
      <c r="F450" s="758"/>
    </row>
    <row r="451" spans="1:6" ht="15">
      <c r="A451" s="87">
        <v>88309</v>
      </c>
      <c r="B451" s="78" t="s">
        <v>94</v>
      </c>
      <c r="C451" s="44" t="s">
        <v>88</v>
      </c>
      <c r="D451" s="208">
        <v>0.07</v>
      </c>
      <c r="E451" s="209">
        <v>12.51</v>
      </c>
      <c r="F451" s="46">
        <f>D451*E451</f>
        <v>0.8757</v>
      </c>
    </row>
    <row r="452" spans="1:6" ht="15">
      <c r="A452" s="94">
        <v>88316</v>
      </c>
      <c r="B452" s="88" t="s">
        <v>95</v>
      </c>
      <c r="C452" s="89" t="s">
        <v>88</v>
      </c>
      <c r="D452" s="208">
        <v>0.007</v>
      </c>
      <c r="E452" s="46">
        <v>9.68</v>
      </c>
      <c r="F452" s="46">
        <f>D452*E452</f>
        <v>0.06776</v>
      </c>
    </row>
    <row r="453" spans="1:6" ht="15">
      <c r="A453" s="708"/>
      <c r="B453" s="709"/>
      <c r="C453" s="709"/>
      <c r="D453" s="709"/>
      <c r="E453" s="709"/>
      <c r="F453" s="710"/>
    </row>
    <row r="454" spans="1:6" ht="15">
      <c r="A454" s="702" t="str">
        <f>"BDI ("&amp;$H$2&amp;"%)"</f>
        <v>BDI (%)</v>
      </c>
      <c r="B454" s="711"/>
      <c r="C454" s="44" t="s">
        <v>80</v>
      </c>
      <c r="D454" s="45">
        <f>H434</f>
        <v>0</v>
      </c>
      <c r="E454" s="46">
        <f>SUM(F449:F449,F451:F452)</f>
        <v>2.7132996799999995</v>
      </c>
      <c r="F454" s="46">
        <f>D454*E454/100</f>
        <v>0</v>
      </c>
    </row>
    <row r="455" spans="1:6" ht="15.75">
      <c r="A455" s="712" t="s">
        <v>81</v>
      </c>
      <c r="B455" s="713"/>
      <c r="C455" s="48"/>
      <c r="D455" s="92"/>
      <c r="E455" s="50"/>
      <c r="F455" s="50">
        <f>E454+F454</f>
        <v>2.7132996799999995</v>
      </c>
    </row>
    <row r="456" spans="1:6" ht="15.75">
      <c r="A456" s="52"/>
      <c r="B456" s="52"/>
      <c r="C456" s="53"/>
      <c r="D456" s="202"/>
      <c r="E456" s="55"/>
      <c r="F456" s="55"/>
    </row>
    <row r="457" spans="1:6" ht="15.75">
      <c r="A457" s="83" t="s">
        <v>164</v>
      </c>
      <c r="B457" s="705" t="s">
        <v>165</v>
      </c>
      <c r="C457" s="706"/>
      <c r="D457" s="706"/>
      <c r="E457" s="706"/>
      <c r="F457" s="707"/>
    </row>
    <row r="458" spans="1:6" ht="30">
      <c r="A458" s="93" t="s">
        <v>99</v>
      </c>
      <c r="B458" s="84" t="s">
        <v>72</v>
      </c>
      <c r="C458" s="75" t="s">
        <v>73</v>
      </c>
      <c r="D458" s="85" t="s">
        <v>74</v>
      </c>
      <c r="E458" s="86" t="s">
        <v>75</v>
      </c>
      <c r="F458" s="86" t="s">
        <v>76</v>
      </c>
    </row>
    <row r="459" spans="1:6" ht="15">
      <c r="A459" s="696" t="s">
        <v>83</v>
      </c>
      <c r="B459" s="697"/>
      <c r="C459" s="697"/>
      <c r="D459" s="697"/>
      <c r="E459" s="697"/>
      <c r="F459" s="698"/>
    </row>
    <row r="460" spans="1:6" ht="15">
      <c r="A460" s="58">
        <v>1379</v>
      </c>
      <c r="B460" s="74" t="s">
        <v>90</v>
      </c>
      <c r="C460" s="44" t="s">
        <v>54</v>
      </c>
      <c r="D460" s="64">
        <v>185.63</v>
      </c>
      <c r="E460" s="46">
        <v>0.56</v>
      </c>
      <c r="F460" s="46">
        <f>D460*E460</f>
        <v>103.95280000000001</v>
      </c>
    </row>
    <row r="461" spans="1:6" ht="15">
      <c r="A461" s="58">
        <v>370</v>
      </c>
      <c r="B461" s="76" t="s">
        <v>100</v>
      </c>
      <c r="C461" s="44" t="s">
        <v>7</v>
      </c>
      <c r="D461" s="64">
        <v>1.29</v>
      </c>
      <c r="E461" s="46">
        <v>26</v>
      </c>
      <c r="F461" s="46">
        <f>D461*E461</f>
        <v>33.54</v>
      </c>
    </row>
    <row r="462" spans="1:6" ht="15">
      <c r="A462" s="58">
        <v>1106</v>
      </c>
      <c r="B462" s="76" t="s">
        <v>166</v>
      </c>
      <c r="C462" s="44" t="s">
        <v>54</v>
      </c>
      <c r="D462" s="64">
        <v>193.7</v>
      </c>
      <c r="E462" s="46">
        <v>0.5</v>
      </c>
      <c r="F462" s="46">
        <f>D462*E462</f>
        <v>96.85</v>
      </c>
    </row>
    <row r="463" spans="1:6" ht="15">
      <c r="A463" s="750" t="s">
        <v>77</v>
      </c>
      <c r="B463" s="751"/>
      <c r="C463" s="751"/>
      <c r="D463" s="751"/>
      <c r="E463" s="751"/>
      <c r="F463" s="752"/>
    </row>
    <row r="464" spans="1:6" ht="75">
      <c r="A464" s="58">
        <v>88830</v>
      </c>
      <c r="B464" s="74" t="s">
        <v>210</v>
      </c>
      <c r="C464" s="44" t="s">
        <v>168</v>
      </c>
      <c r="D464" s="64">
        <v>1.11</v>
      </c>
      <c r="E464" s="46">
        <v>1.02</v>
      </c>
      <c r="F464" s="46">
        <f>D464*E464</f>
        <v>1.1322</v>
      </c>
    </row>
    <row r="465" spans="1:6" ht="75">
      <c r="A465" s="58">
        <v>88831</v>
      </c>
      <c r="B465" s="74" t="s">
        <v>211</v>
      </c>
      <c r="C465" s="44" t="s">
        <v>170</v>
      </c>
      <c r="D465" s="64">
        <v>3.64</v>
      </c>
      <c r="E465" s="46">
        <v>0.26</v>
      </c>
      <c r="F465" s="46">
        <f>D465*E465</f>
        <v>0.9464</v>
      </c>
    </row>
    <row r="466" spans="1:6" ht="15">
      <c r="A466" s="696" t="s">
        <v>103</v>
      </c>
      <c r="B466" s="697"/>
      <c r="C466" s="697"/>
      <c r="D466" s="697"/>
      <c r="E466" s="697"/>
      <c r="F466" s="698"/>
    </row>
    <row r="467" spans="1:6" ht="30">
      <c r="A467" s="87">
        <v>88377</v>
      </c>
      <c r="B467" s="74" t="s">
        <v>171</v>
      </c>
      <c r="C467" s="44" t="s">
        <v>88</v>
      </c>
      <c r="D467" s="64">
        <v>4.75</v>
      </c>
      <c r="E467" s="46">
        <v>9.94</v>
      </c>
      <c r="F467" s="46">
        <f>D467*E467</f>
        <v>47.214999999999996</v>
      </c>
    </row>
    <row r="468" spans="1:6" ht="15.75">
      <c r="A468" s="704" t="s">
        <v>81</v>
      </c>
      <c r="B468" s="704"/>
      <c r="C468" s="48"/>
      <c r="D468" s="92"/>
      <c r="E468" s="50"/>
      <c r="F468" s="50">
        <f>SUM(F460:F465,F467)</f>
        <v>283.63640000000004</v>
      </c>
    </row>
    <row r="469" spans="1:6" ht="15">
      <c r="A469" s="81"/>
      <c r="B469" s="81"/>
      <c r="C469" s="81"/>
      <c r="D469" s="81"/>
      <c r="E469" s="81"/>
      <c r="F469" s="81"/>
    </row>
    <row r="470" spans="1:6" ht="15.75">
      <c r="A470" s="83" t="s">
        <v>212</v>
      </c>
      <c r="B470" s="705" t="s">
        <v>213</v>
      </c>
      <c r="C470" s="706"/>
      <c r="D470" s="706"/>
      <c r="E470" s="706"/>
      <c r="F470" s="707"/>
    </row>
    <row r="471" spans="1:6" ht="30">
      <c r="A471" s="93" t="s">
        <v>99</v>
      </c>
      <c r="B471" s="84" t="s">
        <v>72</v>
      </c>
      <c r="C471" s="75" t="s">
        <v>73</v>
      </c>
      <c r="D471" s="85" t="s">
        <v>74</v>
      </c>
      <c r="E471" s="86" t="s">
        <v>75</v>
      </c>
      <c r="F471" s="86" t="s">
        <v>76</v>
      </c>
    </row>
    <row r="472" spans="1:6" ht="15">
      <c r="A472" s="696" t="s">
        <v>83</v>
      </c>
      <c r="B472" s="697"/>
      <c r="C472" s="697"/>
      <c r="D472" s="697"/>
      <c r="E472" s="697"/>
      <c r="F472" s="698"/>
    </row>
    <row r="473" spans="1:6" ht="45">
      <c r="A473" s="87">
        <v>87292</v>
      </c>
      <c r="B473" s="74" t="s">
        <v>172</v>
      </c>
      <c r="C473" s="44" t="s">
        <v>7</v>
      </c>
      <c r="D473" s="206">
        <v>0.0376</v>
      </c>
      <c r="E473" s="207">
        <f>F468</f>
        <v>283.63640000000004</v>
      </c>
      <c r="F473" s="46">
        <f>D473*E473</f>
        <v>10.664728640000002</v>
      </c>
    </row>
    <row r="474" spans="1:6" ht="15">
      <c r="A474" s="696" t="s">
        <v>103</v>
      </c>
      <c r="B474" s="697"/>
      <c r="C474" s="697"/>
      <c r="D474" s="697"/>
      <c r="E474" s="697"/>
      <c r="F474" s="698"/>
    </row>
    <row r="475" spans="1:6" ht="15">
      <c r="A475" s="210">
        <v>88309</v>
      </c>
      <c r="B475" s="211" t="s">
        <v>94</v>
      </c>
      <c r="C475" s="40" t="s">
        <v>88</v>
      </c>
      <c r="D475" s="212">
        <v>0.41</v>
      </c>
      <c r="E475" s="209">
        <v>12.51</v>
      </c>
      <c r="F475" s="42">
        <f>D475*E475</f>
        <v>5.129099999999999</v>
      </c>
    </row>
    <row r="476" spans="1:6" ht="15">
      <c r="A476" s="213">
        <v>88316</v>
      </c>
      <c r="B476" s="76" t="s">
        <v>95</v>
      </c>
      <c r="C476" s="89" t="s">
        <v>88</v>
      </c>
      <c r="D476" s="208">
        <v>0.15</v>
      </c>
      <c r="E476" s="46">
        <v>9.68</v>
      </c>
      <c r="F476" s="46">
        <f>D476*E476</f>
        <v>1.452</v>
      </c>
    </row>
    <row r="477" spans="1:6" ht="15">
      <c r="A477" s="715"/>
      <c r="B477" s="715"/>
      <c r="C477" s="715"/>
      <c r="D477" s="715"/>
      <c r="E477" s="715"/>
      <c r="F477" s="715"/>
    </row>
    <row r="478" spans="1:6" ht="15">
      <c r="A478" s="716" t="str">
        <f>"BDI ("&amp;$H$2&amp;"%)"</f>
        <v>BDI (%)</v>
      </c>
      <c r="B478" s="716"/>
      <c r="C478" s="44" t="s">
        <v>80</v>
      </c>
      <c r="D478" s="45">
        <f>H434</f>
        <v>0</v>
      </c>
      <c r="E478" s="46">
        <f>SUM(F473:F473,F475:F476)</f>
        <v>17.24582864</v>
      </c>
      <c r="F478" s="46">
        <f>D478*E478/100</f>
        <v>0</v>
      </c>
    </row>
    <row r="479" spans="1:6" ht="15.75">
      <c r="A479" s="704" t="s">
        <v>81</v>
      </c>
      <c r="B479" s="704"/>
      <c r="C479" s="48"/>
      <c r="D479" s="92"/>
      <c r="E479" s="50"/>
      <c r="F479" s="50">
        <f>E478+F478</f>
        <v>17.24582864</v>
      </c>
    </row>
    <row r="480" spans="1:6" ht="15">
      <c r="A480" s="81"/>
      <c r="B480" s="81"/>
      <c r="C480" s="81"/>
      <c r="D480" s="81"/>
      <c r="E480" s="81"/>
      <c r="F480" s="81"/>
    </row>
    <row r="481" spans="1:6" ht="15.75">
      <c r="A481" s="83" t="s">
        <v>214</v>
      </c>
      <c r="B481" s="747" t="s">
        <v>215</v>
      </c>
      <c r="C481" s="748"/>
      <c r="D481" s="748"/>
      <c r="E481" s="748"/>
      <c r="F481" s="749"/>
    </row>
    <row r="482" spans="1:6" ht="30">
      <c r="A482" s="83" t="s">
        <v>99</v>
      </c>
      <c r="B482" s="214" t="s">
        <v>72</v>
      </c>
      <c r="C482" s="215" t="s">
        <v>73</v>
      </c>
      <c r="D482" s="216" t="s">
        <v>74</v>
      </c>
      <c r="E482" s="217" t="s">
        <v>75</v>
      </c>
      <c r="F482" s="217" t="s">
        <v>76</v>
      </c>
    </row>
    <row r="483" spans="1:6" ht="15">
      <c r="A483" s="738" t="s">
        <v>83</v>
      </c>
      <c r="B483" s="739"/>
      <c r="C483" s="739"/>
      <c r="D483" s="739"/>
      <c r="E483" s="739"/>
      <c r="F483" s="740"/>
    </row>
    <row r="484" spans="1:6" ht="30">
      <c r="A484" s="87">
        <v>536</v>
      </c>
      <c r="B484" s="218" t="s">
        <v>216</v>
      </c>
      <c r="C484" s="219" t="s">
        <v>4</v>
      </c>
      <c r="D484" s="220">
        <v>1.06</v>
      </c>
      <c r="E484" s="221">
        <v>17.7</v>
      </c>
      <c r="F484" s="221">
        <f>ROUNDDOWN((D484*E484),2)</f>
        <v>18.76</v>
      </c>
    </row>
    <row r="485" spans="1:6" ht="30">
      <c r="A485" s="87">
        <v>1381</v>
      </c>
      <c r="B485" s="218" t="s">
        <v>217</v>
      </c>
      <c r="C485" s="219" t="s">
        <v>54</v>
      </c>
      <c r="D485" s="220">
        <v>4.86</v>
      </c>
      <c r="E485" s="221">
        <v>0.44</v>
      </c>
      <c r="F485" s="221">
        <f>ROUNDUP((D485*E485),2)</f>
        <v>2.1399999999999997</v>
      </c>
    </row>
    <row r="486" spans="1:6" ht="15">
      <c r="A486" s="87">
        <v>34357</v>
      </c>
      <c r="B486" s="218" t="s">
        <v>218</v>
      </c>
      <c r="C486" s="219" t="s">
        <v>54</v>
      </c>
      <c r="D486" s="220">
        <v>0.42</v>
      </c>
      <c r="E486" s="221">
        <v>2.82</v>
      </c>
      <c r="F486" s="221">
        <f>ROUNDUP((D486*E486),2)</f>
        <v>1.19</v>
      </c>
    </row>
    <row r="487" spans="1:6" ht="15">
      <c r="A487" s="738" t="s">
        <v>103</v>
      </c>
      <c r="B487" s="739"/>
      <c r="C487" s="739"/>
      <c r="D487" s="739"/>
      <c r="E487" s="739"/>
      <c r="F487" s="740"/>
    </row>
    <row r="488" spans="1:6" ht="15">
      <c r="A488" s="87">
        <v>88256</v>
      </c>
      <c r="B488" s="222" t="s">
        <v>219</v>
      </c>
      <c r="C488" s="219" t="s">
        <v>88</v>
      </c>
      <c r="D488" s="220">
        <v>0.7</v>
      </c>
      <c r="E488" s="223">
        <v>11.64</v>
      </c>
      <c r="F488" s="221">
        <f>D488*E488</f>
        <v>8.148</v>
      </c>
    </row>
    <row r="489" spans="1:6" ht="15">
      <c r="A489" s="87">
        <v>88316</v>
      </c>
      <c r="B489" s="218" t="s">
        <v>95</v>
      </c>
      <c r="C489" s="219" t="s">
        <v>88</v>
      </c>
      <c r="D489" s="220">
        <v>0.37</v>
      </c>
      <c r="E489" s="221">
        <v>9.68</v>
      </c>
      <c r="F489" s="221">
        <f>D489*E489</f>
        <v>3.5816</v>
      </c>
    </row>
    <row r="490" spans="1:6" ht="15">
      <c r="A490" s="741"/>
      <c r="B490" s="742"/>
      <c r="C490" s="742"/>
      <c r="D490" s="742"/>
      <c r="E490" s="742"/>
      <c r="F490" s="743"/>
    </row>
    <row r="491" spans="1:6" ht="15">
      <c r="A491" s="744" t="str">
        <f>"BDI ("&amp;$H$2&amp;"%)"</f>
        <v>BDI (%)</v>
      </c>
      <c r="B491" s="745"/>
      <c r="C491" s="219" t="s">
        <v>80</v>
      </c>
      <c r="D491" s="224">
        <f>$H$2</f>
        <v>0</v>
      </c>
      <c r="E491" s="221">
        <f>SUM(F484:F486,F488:F489)</f>
        <v>33.8196</v>
      </c>
      <c r="F491" s="221">
        <f>D491*E491/100</f>
        <v>0</v>
      </c>
    </row>
    <row r="492" spans="1:6" ht="15.75">
      <c r="A492" s="746" t="s">
        <v>81</v>
      </c>
      <c r="B492" s="746"/>
      <c r="C492" s="225"/>
      <c r="D492" s="226"/>
      <c r="E492" s="227"/>
      <c r="F492" s="227">
        <f>E491+F491</f>
        <v>33.8196</v>
      </c>
    </row>
    <row r="493" spans="1:6" ht="15">
      <c r="A493" s="81"/>
      <c r="B493" s="81"/>
      <c r="C493" s="81"/>
      <c r="D493" s="81"/>
      <c r="E493" s="81"/>
      <c r="F493" s="81"/>
    </row>
    <row r="494" spans="1:6" ht="18">
      <c r="A494" s="102" t="s">
        <v>69</v>
      </c>
      <c r="B494" s="687" t="s">
        <v>220</v>
      </c>
      <c r="C494" s="687"/>
      <c r="D494" s="687"/>
      <c r="E494" s="687"/>
      <c r="F494" s="687"/>
    </row>
    <row r="495" spans="1:6" ht="36">
      <c r="A495" s="126" t="s">
        <v>99</v>
      </c>
      <c r="B495" s="105" t="s">
        <v>72</v>
      </c>
      <c r="C495" s="105" t="s">
        <v>73</v>
      </c>
      <c r="D495" s="106" t="s">
        <v>74</v>
      </c>
      <c r="E495" s="107" t="s">
        <v>75</v>
      </c>
      <c r="F495" s="107" t="s">
        <v>76</v>
      </c>
    </row>
    <row r="496" spans="1:6" ht="18">
      <c r="A496" s="685" t="s">
        <v>83</v>
      </c>
      <c r="B496" s="685"/>
      <c r="C496" s="685"/>
      <c r="D496" s="685"/>
      <c r="E496" s="685"/>
      <c r="F496" s="685"/>
    </row>
    <row r="497" spans="1:6" ht="54">
      <c r="A497" s="126" t="s">
        <v>84</v>
      </c>
      <c r="B497" s="127" t="s">
        <v>221</v>
      </c>
      <c r="C497" s="110" t="s">
        <v>4</v>
      </c>
      <c r="D497" s="111">
        <v>1</v>
      </c>
      <c r="E497" s="112">
        <v>290.4</v>
      </c>
      <c r="F497" s="112">
        <f>D497*E497</f>
        <v>290.4</v>
      </c>
    </row>
    <row r="498" spans="1:6" ht="36">
      <c r="A498" s="126">
        <v>367</v>
      </c>
      <c r="B498" s="127" t="s">
        <v>222</v>
      </c>
      <c r="C498" s="110" t="s">
        <v>7</v>
      </c>
      <c r="D498" s="111">
        <v>0.001</v>
      </c>
      <c r="E498" s="112">
        <v>70</v>
      </c>
      <c r="F498" s="112">
        <f>D498*E498</f>
        <v>0.07</v>
      </c>
    </row>
    <row r="499" spans="1:6" ht="18">
      <c r="A499" s="126">
        <v>1379</v>
      </c>
      <c r="B499" s="144" t="s">
        <v>223</v>
      </c>
      <c r="C499" s="110" t="s">
        <v>54</v>
      </c>
      <c r="D499" s="111">
        <v>0.15</v>
      </c>
      <c r="E499" s="112">
        <v>0.56</v>
      </c>
      <c r="F499" s="112">
        <f>D499*E499</f>
        <v>0.084</v>
      </c>
    </row>
    <row r="500" spans="1:6" ht="18">
      <c r="A500" s="685" t="s">
        <v>103</v>
      </c>
      <c r="B500" s="685"/>
      <c r="C500" s="685"/>
      <c r="D500" s="685"/>
      <c r="E500" s="685"/>
      <c r="F500" s="685"/>
    </row>
    <row r="501" spans="1:6" ht="18">
      <c r="A501" s="228">
        <v>88309</v>
      </c>
      <c r="B501" s="229" t="s">
        <v>224</v>
      </c>
      <c r="C501" s="181" t="s">
        <v>88</v>
      </c>
      <c r="D501" s="182">
        <v>0.35</v>
      </c>
      <c r="E501" s="183">
        <v>12.51</v>
      </c>
      <c r="F501" s="183">
        <f>ROUNDUP((D501*E501),2)</f>
        <v>4.38</v>
      </c>
    </row>
    <row r="502" spans="1:6" ht="36">
      <c r="A502" s="230">
        <v>88316</v>
      </c>
      <c r="B502" s="109" t="s">
        <v>106</v>
      </c>
      <c r="C502" s="110" t="s">
        <v>88</v>
      </c>
      <c r="D502" s="111">
        <v>0.25</v>
      </c>
      <c r="E502" s="112">
        <v>9.68</v>
      </c>
      <c r="F502" s="183">
        <f>ROUNDUP((D502*E502),2)</f>
        <v>2.42</v>
      </c>
    </row>
    <row r="503" spans="1:6" ht="36">
      <c r="A503" s="230">
        <v>88276</v>
      </c>
      <c r="B503" s="109" t="s">
        <v>225</v>
      </c>
      <c r="C503" s="110" t="s">
        <v>88</v>
      </c>
      <c r="D503" s="111">
        <v>1</v>
      </c>
      <c r="E503" s="112">
        <v>15.6</v>
      </c>
      <c r="F503" s="183">
        <f>ROUNDUP((D503*E503),2)</f>
        <v>15.6</v>
      </c>
    </row>
    <row r="504" spans="1:6" ht="18">
      <c r="A504" s="735"/>
      <c r="B504" s="736"/>
      <c r="C504" s="736"/>
      <c r="D504" s="736"/>
      <c r="E504" s="736"/>
      <c r="F504" s="737"/>
    </row>
    <row r="505" spans="1:6" ht="18">
      <c r="A505" s="730" t="str">
        <f>"BDI ("&amp;$H$2&amp;"%)"</f>
        <v>BDI (%)</v>
      </c>
      <c r="B505" s="731"/>
      <c r="C505" s="110" t="s">
        <v>80</v>
      </c>
      <c r="D505" s="113">
        <f>$H$2</f>
        <v>0</v>
      </c>
      <c r="E505" s="112">
        <f>SUM(F497:F499,F501:F503)</f>
        <v>312.954</v>
      </c>
      <c r="F505" s="112">
        <f>D505*E505/100</f>
        <v>0</v>
      </c>
    </row>
    <row r="506" spans="1:6" ht="18">
      <c r="A506" s="689" t="s">
        <v>81</v>
      </c>
      <c r="B506" s="689"/>
      <c r="C506" s="114"/>
      <c r="D506" s="115"/>
      <c r="E506" s="116"/>
      <c r="F506" s="116">
        <f>E505+F505</f>
        <v>312.954</v>
      </c>
    </row>
    <row r="507" spans="1:6" ht="18">
      <c r="A507" s="231"/>
      <c r="B507" s="231"/>
      <c r="C507" s="232"/>
      <c r="D507" s="232"/>
      <c r="E507" s="232"/>
      <c r="F507" s="233"/>
    </row>
    <row r="508" spans="1:6" ht="36">
      <c r="A508" s="102" t="s">
        <v>185</v>
      </c>
      <c r="B508" s="732" t="s">
        <v>186</v>
      </c>
      <c r="C508" s="733"/>
      <c r="D508" s="733"/>
      <c r="E508" s="733"/>
      <c r="F508" s="734"/>
    </row>
    <row r="509" spans="1:6" ht="36">
      <c r="A509" s="103" t="s">
        <v>99</v>
      </c>
      <c r="B509" s="104" t="s">
        <v>72</v>
      </c>
      <c r="C509" s="105" t="s">
        <v>73</v>
      </c>
      <c r="D509" s="106" t="s">
        <v>74</v>
      </c>
      <c r="E509" s="107" t="s">
        <v>75</v>
      </c>
      <c r="F509" s="107" t="s">
        <v>76</v>
      </c>
    </row>
    <row r="510" spans="1:6" ht="18">
      <c r="A510" s="720" t="s">
        <v>83</v>
      </c>
      <c r="B510" s="722"/>
      <c r="C510" s="722"/>
      <c r="D510" s="722"/>
      <c r="E510" s="722"/>
      <c r="F510" s="723"/>
    </row>
    <row r="511" spans="1:6" ht="18">
      <c r="A511" s="126">
        <v>1379</v>
      </c>
      <c r="B511" s="144" t="s">
        <v>90</v>
      </c>
      <c r="C511" s="110" t="s">
        <v>54</v>
      </c>
      <c r="D511" s="111">
        <v>435.03</v>
      </c>
      <c r="E511" s="112">
        <v>0.56</v>
      </c>
      <c r="F511" s="112">
        <f>D511*E511</f>
        <v>243.6168</v>
      </c>
    </row>
    <row r="512" spans="1:6" ht="18">
      <c r="A512" s="126">
        <v>370</v>
      </c>
      <c r="B512" s="127" t="s">
        <v>100</v>
      </c>
      <c r="C512" s="110" t="s">
        <v>7</v>
      </c>
      <c r="D512" s="111">
        <v>1.51</v>
      </c>
      <c r="E512" s="112">
        <v>26</v>
      </c>
      <c r="F512" s="112">
        <f>D512*E512</f>
        <v>39.26</v>
      </c>
    </row>
    <row r="513" spans="1:6" ht="18">
      <c r="A513" s="720" t="s">
        <v>103</v>
      </c>
      <c r="B513" s="722"/>
      <c r="C513" s="722"/>
      <c r="D513" s="722"/>
      <c r="E513" s="722"/>
      <c r="F513" s="723"/>
    </row>
    <row r="514" spans="1:6" ht="18">
      <c r="A514" s="118">
        <v>88316</v>
      </c>
      <c r="B514" s="109" t="s">
        <v>95</v>
      </c>
      <c r="C514" s="110" t="s">
        <v>88</v>
      </c>
      <c r="D514" s="111">
        <v>11.49</v>
      </c>
      <c r="E514" s="112">
        <v>9.68</v>
      </c>
      <c r="F514" s="112">
        <f>D514*E514</f>
        <v>111.2232</v>
      </c>
    </row>
    <row r="515" spans="1:6" ht="18">
      <c r="A515" s="689" t="s">
        <v>81</v>
      </c>
      <c r="B515" s="689"/>
      <c r="C515" s="114"/>
      <c r="D515" s="115"/>
      <c r="E515" s="116"/>
      <c r="F515" s="116">
        <f>SUM(F511:F512,F514:F514)</f>
        <v>394.1</v>
      </c>
    </row>
    <row r="516" spans="1:6" ht="18">
      <c r="A516" s="117"/>
      <c r="B516" s="117"/>
      <c r="C516" s="117"/>
      <c r="D516" s="117"/>
      <c r="E516" s="117"/>
      <c r="F516" s="117"/>
    </row>
    <row r="517" spans="1:6" ht="18">
      <c r="A517" s="102" t="s">
        <v>107</v>
      </c>
      <c r="B517" s="732" t="s">
        <v>226</v>
      </c>
      <c r="C517" s="733"/>
      <c r="D517" s="733"/>
      <c r="E517" s="733"/>
      <c r="F517" s="734"/>
    </row>
    <row r="518" spans="1:6" ht="36">
      <c r="A518" s="126" t="s">
        <v>99</v>
      </c>
      <c r="B518" s="104" t="s">
        <v>72</v>
      </c>
      <c r="C518" s="105" t="s">
        <v>73</v>
      </c>
      <c r="D518" s="106" t="s">
        <v>74</v>
      </c>
      <c r="E518" s="107" t="s">
        <v>75</v>
      </c>
      <c r="F518" s="107" t="s">
        <v>76</v>
      </c>
    </row>
    <row r="519" spans="1:6" ht="18">
      <c r="A519" s="720" t="s">
        <v>83</v>
      </c>
      <c r="B519" s="722"/>
      <c r="C519" s="722"/>
      <c r="D519" s="722"/>
      <c r="E519" s="722"/>
      <c r="F519" s="723"/>
    </row>
    <row r="520" spans="1:6" ht="36">
      <c r="A520" s="118">
        <v>87373</v>
      </c>
      <c r="B520" s="127" t="s">
        <v>227</v>
      </c>
      <c r="C520" s="110" t="s">
        <v>7</v>
      </c>
      <c r="D520" s="234">
        <v>0.0112</v>
      </c>
      <c r="E520" s="235">
        <f>F515</f>
        <v>394.1</v>
      </c>
      <c r="F520" s="112">
        <f>D520*E520</f>
        <v>4.41392</v>
      </c>
    </row>
    <row r="521" spans="1:6" ht="36">
      <c r="A521" s="118">
        <v>1338</v>
      </c>
      <c r="B521" s="127" t="s">
        <v>228</v>
      </c>
      <c r="C521" s="110" t="s">
        <v>4</v>
      </c>
      <c r="D521" s="111">
        <f>2*1.6*2.1-0.6</f>
        <v>6.120000000000001</v>
      </c>
      <c r="E521" s="235">
        <v>13.44</v>
      </c>
      <c r="F521" s="112">
        <f aca="true" t="shared" si="6" ref="F521:F532">D521*E521</f>
        <v>82.25280000000001</v>
      </c>
    </row>
    <row r="522" spans="1:6" ht="36">
      <c r="A522" s="118">
        <v>1339</v>
      </c>
      <c r="B522" s="127" t="s">
        <v>229</v>
      </c>
      <c r="C522" s="110" t="s">
        <v>54</v>
      </c>
      <c r="D522" s="111">
        <f>0.9*D521</f>
        <v>5.508000000000001</v>
      </c>
      <c r="E522" s="235">
        <v>13.47</v>
      </c>
      <c r="F522" s="112">
        <f t="shared" si="6"/>
        <v>74.19276000000002</v>
      </c>
    </row>
    <row r="523" spans="1:6" ht="54">
      <c r="A523" s="118">
        <v>184</v>
      </c>
      <c r="B523" s="127" t="s">
        <v>230</v>
      </c>
      <c r="C523" s="110" t="s">
        <v>231</v>
      </c>
      <c r="D523" s="111">
        <v>1</v>
      </c>
      <c r="E523" s="235">
        <v>52.87</v>
      </c>
      <c r="F523" s="112">
        <f t="shared" si="6"/>
        <v>52.87</v>
      </c>
    </row>
    <row r="524" spans="1:6" ht="36">
      <c r="A524" s="118">
        <v>20006</v>
      </c>
      <c r="B524" s="127" t="s">
        <v>232</v>
      </c>
      <c r="C524" s="110" t="s">
        <v>26</v>
      </c>
      <c r="D524" s="111">
        <f>(1.6+2.1*2)*2</f>
        <v>11.600000000000001</v>
      </c>
      <c r="E524" s="235">
        <v>3.36</v>
      </c>
      <c r="F524" s="112">
        <f t="shared" si="6"/>
        <v>38.976000000000006</v>
      </c>
    </row>
    <row r="525" spans="1:6" ht="36">
      <c r="A525" s="118">
        <v>4419</v>
      </c>
      <c r="B525" s="127" t="s">
        <v>233</v>
      </c>
      <c r="C525" s="110" t="s">
        <v>34</v>
      </c>
      <c r="D525" s="111">
        <v>6</v>
      </c>
      <c r="E525" s="235">
        <v>0.65</v>
      </c>
      <c r="F525" s="112">
        <f t="shared" si="6"/>
        <v>3.9000000000000004</v>
      </c>
    </row>
    <row r="526" spans="1:6" ht="18">
      <c r="A526" s="118">
        <v>20247</v>
      </c>
      <c r="B526" s="127" t="s">
        <v>234</v>
      </c>
      <c r="C526" s="110" t="s">
        <v>54</v>
      </c>
      <c r="D526" s="111">
        <v>0.67</v>
      </c>
      <c r="E526" s="235">
        <v>8.11</v>
      </c>
      <c r="F526" s="112">
        <f t="shared" si="6"/>
        <v>5.4337</v>
      </c>
    </row>
    <row r="527" spans="1:6" ht="36">
      <c r="A527" s="118">
        <v>4378</v>
      </c>
      <c r="B527" s="127" t="s">
        <v>235</v>
      </c>
      <c r="C527" s="110" t="s">
        <v>34</v>
      </c>
      <c r="D527" s="111">
        <v>6</v>
      </c>
      <c r="E527" s="235">
        <v>0.37</v>
      </c>
      <c r="F527" s="112">
        <f t="shared" si="6"/>
        <v>2.2199999999999998</v>
      </c>
    </row>
    <row r="528" spans="1:6" ht="36">
      <c r="A528" s="118">
        <v>10555</v>
      </c>
      <c r="B528" s="144" t="s">
        <v>236</v>
      </c>
      <c r="C528" s="110" t="s">
        <v>34</v>
      </c>
      <c r="D528" s="111">
        <v>2</v>
      </c>
      <c r="E528" s="112">
        <v>79.21</v>
      </c>
      <c r="F528" s="112">
        <f t="shared" si="6"/>
        <v>158.42</v>
      </c>
    </row>
    <row r="529" spans="1:6" ht="18">
      <c r="A529" s="118">
        <v>11188</v>
      </c>
      <c r="B529" s="144" t="s">
        <v>237</v>
      </c>
      <c r="C529" s="110" t="s">
        <v>4</v>
      </c>
      <c r="D529" s="111">
        <f>(0.6*0.25)*2</f>
        <v>0.3</v>
      </c>
      <c r="E529" s="112">
        <v>97.77</v>
      </c>
      <c r="F529" s="112">
        <f t="shared" si="6"/>
        <v>29.330999999999996</v>
      </c>
    </row>
    <row r="530" spans="1:6" ht="18">
      <c r="A530" s="118">
        <v>10498</v>
      </c>
      <c r="B530" s="144" t="s">
        <v>238</v>
      </c>
      <c r="C530" s="110" t="s">
        <v>54</v>
      </c>
      <c r="D530" s="111">
        <v>0.24</v>
      </c>
      <c r="E530" s="112">
        <v>4.66</v>
      </c>
      <c r="F530" s="112">
        <f t="shared" si="6"/>
        <v>1.1184</v>
      </c>
    </row>
    <row r="531" spans="1:6" ht="36">
      <c r="A531" s="118">
        <v>3090</v>
      </c>
      <c r="B531" s="144" t="s">
        <v>239</v>
      </c>
      <c r="C531" s="110" t="s">
        <v>91</v>
      </c>
      <c r="D531" s="111">
        <v>1</v>
      </c>
      <c r="E531" s="112">
        <v>26.18</v>
      </c>
      <c r="F531" s="112">
        <f t="shared" si="6"/>
        <v>26.18</v>
      </c>
    </row>
    <row r="532" spans="1:6" ht="18">
      <c r="A532" s="118">
        <v>2427</v>
      </c>
      <c r="B532" s="144" t="s">
        <v>240</v>
      </c>
      <c r="C532" s="110" t="s">
        <v>34</v>
      </c>
      <c r="D532" s="111">
        <v>6</v>
      </c>
      <c r="E532" s="112">
        <v>8.03</v>
      </c>
      <c r="F532" s="112">
        <f t="shared" si="6"/>
        <v>48.17999999999999</v>
      </c>
    </row>
    <row r="533" spans="1:6" ht="18">
      <c r="A533" s="724" t="s">
        <v>103</v>
      </c>
      <c r="B533" s="725"/>
      <c r="C533" s="725"/>
      <c r="D533" s="725"/>
      <c r="E533" s="725"/>
      <c r="F533" s="726"/>
    </row>
    <row r="534" spans="1:6" ht="18">
      <c r="A534" s="118">
        <v>88309</v>
      </c>
      <c r="B534" s="119" t="s">
        <v>94</v>
      </c>
      <c r="C534" s="110" t="s">
        <v>88</v>
      </c>
      <c r="D534" s="111">
        <f>1.4*2</f>
        <v>2.8</v>
      </c>
      <c r="E534" s="112">
        <v>12.51</v>
      </c>
      <c r="F534" s="112">
        <f>D534*E534</f>
        <v>35.028</v>
      </c>
    </row>
    <row r="535" spans="1:6" ht="18">
      <c r="A535" s="236">
        <v>88261</v>
      </c>
      <c r="B535" s="119" t="s">
        <v>241</v>
      </c>
      <c r="C535" s="110" t="s">
        <v>88</v>
      </c>
      <c r="D535" s="111">
        <f>(0.18*D521+(2.05*2))</f>
        <v>5.2016</v>
      </c>
      <c r="E535" s="112">
        <v>12.37</v>
      </c>
      <c r="F535" s="112">
        <f>D535*E535</f>
        <v>64.343792</v>
      </c>
    </row>
    <row r="536" spans="1:6" ht="18">
      <c r="A536" s="236">
        <v>88325</v>
      </c>
      <c r="B536" s="119" t="s">
        <v>242</v>
      </c>
      <c r="C536" s="110" t="s">
        <v>88</v>
      </c>
      <c r="D536" s="111">
        <v>0.21</v>
      </c>
      <c r="E536" s="112">
        <v>11.19</v>
      </c>
      <c r="F536" s="112">
        <f>D536*E536</f>
        <v>2.3499</v>
      </c>
    </row>
    <row r="537" spans="1:6" ht="18">
      <c r="A537" s="230">
        <v>88316</v>
      </c>
      <c r="B537" s="109" t="s">
        <v>95</v>
      </c>
      <c r="C537" s="110" t="s">
        <v>88</v>
      </c>
      <c r="D537" s="111">
        <f>(0.18*D521+(3.45*2))</f>
        <v>8.0016</v>
      </c>
      <c r="E537" s="112">
        <v>9.68</v>
      </c>
      <c r="F537" s="112">
        <f>D537*E537</f>
        <v>77.455488</v>
      </c>
    </row>
    <row r="538" spans="1:6" ht="18">
      <c r="A538" s="735"/>
      <c r="B538" s="736"/>
      <c r="C538" s="736"/>
      <c r="D538" s="736"/>
      <c r="E538" s="736"/>
      <c r="F538" s="737"/>
    </row>
    <row r="539" spans="1:6" ht="18">
      <c r="A539" s="730" t="str">
        <f>"BDI ("&amp;$H$2&amp;"%)"</f>
        <v>BDI (%)</v>
      </c>
      <c r="B539" s="731"/>
      <c r="C539" s="110" t="s">
        <v>80</v>
      </c>
      <c r="D539" s="113">
        <f>$H$2</f>
        <v>0</v>
      </c>
      <c r="E539" s="112">
        <f>SUM(F520:F532,F534:F537)</f>
        <v>706.6657600000001</v>
      </c>
      <c r="F539" s="112">
        <f>D539*E539/100</f>
        <v>0</v>
      </c>
    </row>
    <row r="540" spans="1:6" ht="18">
      <c r="A540" s="689" t="s">
        <v>81</v>
      </c>
      <c r="B540" s="689"/>
      <c r="C540" s="114"/>
      <c r="D540" s="115"/>
      <c r="E540" s="116"/>
      <c r="F540" s="116">
        <f>E539+F539</f>
        <v>706.6657600000001</v>
      </c>
    </row>
    <row r="541" spans="1:6" ht="18">
      <c r="A541" s="117"/>
      <c r="B541" s="117"/>
      <c r="C541" s="117"/>
      <c r="D541" s="117"/>
      <c r="E541" s="117"/>
      <c r="F541" s="117"/>
    </row>
    <row r="542" spans="1:6" ht="18">
      <c r="A542" s="102" t="s">
        <v>107</v>
      </c>
      <c r="B542" s="732" t="s">
        <v>243</v>
      </c>
      <c r="C542" s="733"/>
      <c r="D542" s="733"/>
      <c r="E542" s="733"/>
      <c r="F542" s="734"/>
    </row>
    <row r="543" spans="1:6" ht="36">
      <c r="A543" s="126" t="s">
        <v>99</v>
      </c>
      <c r="B543" s="104" t="s">
        <v>72</v>
      </c>
      <c r="C543" s="105" t="s">
        <v>73</v>
      </c>
      <c r="D543" s="106" t="s">
        <v>74</v>
      </c>
      <c r="E543" s="107" t="s">
        <v>75</v>
      </c>
      <c r="F543" s="107" t="s">
        <v>76</v>
      </c>
    </row>
    <row r="544" spans="1:6" ht="18">
      <c r="A544" s="720" t="s">
        <v>83</v>
      </c>
      <c r="B544" s="722"/>
      <c r="C544" s="722"/>
      <c r="D544" s="722"/>
      <c r="E544" s="722"/>
      <c r="F544" s="723"/>
    </row>
    <row r="545" spans="1:6" ht="36">
      <c r="A545" s="118">
        <v>87373</v>
      </c>
      <c r="B545" s="127" t="s">
        <v>227</v>
      </c>
      <c r="C545" s="110" t="s">
        <v>7</v>
      </c>
      <c r="D545" s="111">
        <v>0.011</v>
      </c>
      <c r="E545" s="235">
        <f>F515</f>
        <v>394.1</v>
      </c>
      <c r="F545" s="112">
        <f>D545*E545</f>
        <v>4.3351</v>
      </c>
    </row>
    <row r="546" spans="1:6" ht="36">
      <c r="A546" s="118">
        <v>1338</v>
      </c>
      <c r="B546" s="127" t="s">
        <v>228</v>
      </c>
      <c r="C546" s="110" t="s">
        <v>4</v>
      </c>
      <c r="D546" s="111">
        <f>2*0.9*2.1</f>
        <v>3.7800000000000002</v>
      </c>
      <c r="E546" s="235">
        <v>13.44</v>
      </c>
      <c r="F546" s="112">
        <f aca="true" t="shared" si="7" ref="F546:F555">D546*E546</f>
        <v>50.803200000000004</v>
      </c>
    </row>
    <row r="547" spans="1:6" ht="36">
      <c r="A547" s="118">
        <v>1339</v>
      </c>
      <c r="B547" s="127" t="s">
        <v>229</v>
      </c>
      <c r="C547" s="110" t="s">
        <v>54</v>
      </c>
      <c r="D547" s="111">
        <f>0.9*D546</f>
        <v>3.402</v>
      </c>
      <c r="E547" s="235">
        <v>13.47</v>
      </c>
      <c r="F547" s="112">
        <f t="shared" si="7"/>
        <v>45.824940000000005</v>
      </c>
    </row>
    <row r="548" spans="1:6" ht="54">
      <c r="A548" s="118">
        <v>184</v>
      </c>
      <c r="B548" s="127" t="s">
        <v>230</v>
      </c>
      <c r="C548" s="110" t="s">
        <v>231</v>
      </c>
      <c r="D548" s="111">
        <v>1</v>
      </c>
      <c r="E548" s="235">
        <v>52.87</v>
      </c>
      <c r="F548" s="112">
        <f t="shared" si="7"/>
        <v>52.87</v>
      </c>
    </row>
    <row r="549" spans="1:6" ht="36">
      <c r="A549" s="118">
        <v>20006</v>
      </c>
      <c r="B549" s="127" t="s">
        <v>232</v>
      </c>
      <c r="C549" s="110" t="s">
        <v>26</v>
      </c>
      <c r="D549" s="111">
        <v>10</v>
      </c>
      <c r="E549" s="235">
        <v>3.36</v>
      </c>
      <c r="F549" s="112">
        <f t="shared" si="7"/>
        <v>33.6</v>
      </c>
    </row>
    <row r="550" spans="1:6" ht="36">
      <c r="A550" s="118">
        <v>4419</v>
      </c>
      <c r="B550" s="127" t="s">
        <v>233</v>
      </c>
      <c r="C550" s="110" t="s">
        <v>34</v>
      </c>
      <c r="D550" s="111">
        <v>6</v>
      </c>
      <c r="E550" s="235">
        <v>0.65</v>
      </c>
      <c r="F550" s="112">
        <f t="shared" si="7"/>
        <v>3.9000000000000004</v>
      </c>
    </row>
    <row r="551" spans="1:6" ht="18">
      <c r="A551" s="118">
        <v>20247</v>
      </c>
      <c r="B551" s="127" t="s">
        <v>234</v>
      </c>
      <c r="C551" s="110" t="s">
        <v>54</v>
      </c>
      <c r="D551" s="111">
        <v>0.6</v>
      </c>
      <c r="E551" s="235">
        <v>8.11</v>
      </c>
      <c r="F551" s="112">
        <f t="shared" si="7"/>
        <v>4.866</v>
      </c>
    </row>
    <row r="552" spans="1:6" ht="36">
      <c r="A552" s="118">
        <v>4378</v>
      </c>
      <c r="B552" s="127" t="s">
        <v>235</v>
      </c>
      <c r="C552" s="110" t="s">
        <v>34</v>
      </c>
      <c r="D552" s="111">
        <v>6</v>
      </c>
      <c r="E552" s="235">
        <v>0.37</v>
      </c>
      <c r="F552" s="112">
        <f t="shared" si="7"/>
        <v>2.2199999999999998</v>
      </c>
    </row>
    <row r="553" spans="1:6" ht="36">
      <c r="A553" s="118">
        <v>10556</v>
      </c>
      <c r="B553" s="144" t="s">
        <v>244</v>
      </c>
      <c r="C553" s="110" t="s">
        <v>34</v>
      </c>
      <c r="D553" s="111">
        <v>1</v>
      </c>
      <c r="E553" s="112">
        <v>90.33</v>
      </c>
      <c r="F553" s="112">
        <f t="shared" si="7"/>
        <v>90.33</v>
      </c>
    </row>
    <row r="554" spans="1:6" ht="36">
      <c r="A554" s="118">
        <v>3090</v>
      </c>
      <c r="B554" s="144" t="s">
        <v>239</v>
      </c>
      <c r="C554" s="110" t="s">
        <v>91</v>
      </c>
      <c r="D554" s="111">
        <v>1</v>
      </c>
      <c r="E554" s="112">
        <v>26.18</v>
      </c>
      <c r="F554" s="112">
        <f t="shared" si="7"/>
        <v>26.18</v>
      </c>
    </row>
    <row r="555" spans="1:6" ht="18">
      <c r="A555" s="118">
        <v>2427</v>
      </c>
      <c r="B555" s="144" t="s">
        <v>240</v>
      </c>
      <c r="C555" s="110" t="s">
        <v>34</v>
      </c>
      <c r="D555" s="111">
        <v>3</v>
      </c>
      <c r="E555" s="112">
        <v>8.03</v>
      </c>
      <c r="F555" s="112">
        <f t="shared" si="7"/>
        <v>24.089999999999996</v>
      </c>
    </row>
    <row r="556" spans="1:6" ht="18">
      <c r="A556" s="724" t="s">
        <v>103</v>
      </c>
      <c r="B556" s="725"/>
      <c r="C556" s="725"/>
      <c r="D556" s="725"/>
      <c r="E556" s="725"/>
      <c r="F556" s="726"/>
    </row>
    <row r="557" spans="1:6" ht="18">
      <c r="A557" s="118">
        <v>88309</v>
      </c>
      <c r="B557" s="119" t="s">
        <v>94</v>
      </c>
      <c r="C557" s="110" t="s">
        <v>88</v>
      </c>
      <c r="D557" s="111">
        <v>1.4</v>
      </c>
      <c r="E557" s="112">
        <v>12.51</v>
      </c>
      <c r="F557" s="112">
        <f>D557*E557</f>
        <v>17.514</v>
      </c>
    </row>
    <row r="558" spans="1:6" ht="18">
      <c r="A558" s="236">
        <v>88261</v>
      </c>
      <c r="B558" s="119" t="s">
        <v>241</v>
      </c>
      <c r="C558" s="110" t="s">
        <v>88</v>
      </c>
      <c r="D558" s="111">
        <f>0.18*D546+2.05</f>
        <v>2.7304</v>
      </c>
      <c r="E558" s="112">
        <v>12.37</v>
      </c>
      <c r="F558" s="112">
        <f>D558*E558</f>
        <v>33.775048</v>
      </c>
    </row>
    <row r="559" spans="1:6" ht="18">
      <c r="A559" s="108">
        <v>88316</v>
      </c>
      <c r="B559" s="109" t="s">
        <v>95</v>
      </c>
      <c r="C559" s="110" t="s">
        <v>88</v>
      </c>
      <c r="D559" s="111">
        <f>0.18*D546+3.45</f>
        <v>4.1304</v>
      </c>
      <c r="E559" s="112">
        <v>9.68</v>
      </c>
      <c r="F559" s="112">
        <f>D559*E559</f>
        <v>39.982271999999995</v>
      </c>
    </row>
    <row r="560" spans="1:6" ht="18">
      <c r="A560" s="727"/>
      <c r="B560" s="728"/>
      <c r="C560" s="728"/>
      <c r="D560" s="728"/>
      <c r="E560" s="728"/>
      <c r="F560" s="729"/>
    </row>
    <row r="561" spans="1:6" ht="18">
      <c r="A561" s="730" t="str">
        <f>"BDI ("&amp;$H$2&amp;"%)"</f>
        <v>BDI (%)</v>
      </c>
      <c r="B561" s="731"/>
      <c r="C561" s="110" t="s">
        <v>80</v>
      </c>
      <c r="D561" s="113">
        <f>$H$2</f>
        <v>0</v>
      </c>
      <c r="E561" s="112">
        <f>SUM(F545:F555,F557:F559)</f>
        <v>430.29056</v>
      </c>
      <c r="F561" s="112">
        <f>D561*E561/100</f>
        <v>0</v>
      </c>
    </row>
    <row r="562" spans="1:6" ht="18">
      <c r="A562" s="689" t="s">
        <v>81</v>
      </c>
      <c r="B562" s="689"/>
      <c r="C562" s="114"/>
      <c r="D562" s="115"/>
      <c r="E562" s="116"/>
      <c r="F562" s="116">
        <f>E561+F561</f>
        <v>430.29056</v>
      </c>
    </row>
    <row r="563" spans="1:6" ht="18">
      <c r="A563" s="117"/>
      <c r="B563" s="117"/>
      <c r="C563" s="117"/>
      <c r="D563" s="117"/>
      <c r="E563" s="117"/>
      <c r="F563" s="117"/>
    </row>
    <row r="564" spans="1:6" ht="18">
      <c r="A564" s="102" t="s">
        <v>107</v>
      </c>
      <c r="B564" s="732" t="s">
        <v>245</v>
      </c>
      <c r="C564" s="733"/>
      <c r="D564" s="733"/>
      <c r="E564" s="733"/>
      <c r="F564" s="734"/>
    </row>
    <row r="565" spans="1:6" ht="36">
      <c r="A565" s="126" t="s">
        <v>99</v>
      </c>
      <c r="B565" s="104" t="s">
        <v>72</v>
      </c>
      <c r="C565" s="105" t="s">
        <v>73</v>
      </c>
      <c r="D565" s="106" t="s">
        <v>74</v>
      </c>
      <c r="E565" s="107" t="s">
        <v>75</v>
      </c>
      <c r="F565" s="107" t="s">
        <v>76</v>
      </c>
    </row>
    <row r="566" spans="1:6" ht="18">
      <c r="A566" s="720" t="s">
        <v>83</v>
      </c>
      <c r="B566" s="722"/>
      <c r="C566" s="722"/>
      <c r="D566" s="722"/>
      <c r="E566" s="722"/>
      <c r="F566" s="723"/>
    </row>
    <row r="567" spans="1:6" ht="36">
      <c r="A567" s="118">
        <v>87373</v>
      </c>
      <c r="B567" s="127" t="s">
        <v>227</v>
      </c>
      <c r="C567" s="110" t="s">
        <v>7</v>
      </c>
      <c r="D567" s="234">
        <v>0.01</v>
      </c>
      <c r="E567" s="235">
        <f>F515</f>
        <v>394.1</v>
      </c>
      <c r="F567" s="112">
        <f>D567*E567</f>
        <v>3.9410000000000003</v>
      </c>
    </row>
    <row r="568" spans="1:6" ht="36">
      <c r="A568" s="118">
        <v>1338</v>
      </c>
      <c r="B568" s="127" t="s">
        <v>228</v>
      </c>
      <c r="C568" s="110" t="s">
        <v>4</v>
      </c>
      <c r="D568" s="111">
        <f>2*1.8*2.1</f>
        <v>7.5600000000000005</v>
      </c>
      <c r="E568" s="235">
        <v>13.44</v>
      </c>
      <c r="F568" s="112">
        <f aca="true" t="shared" si="8" ref="F568:F576">D568*E568</f>
        <v>101.60640000000001</v>
      </c>
    </row>
    <row r="569" spans="1:6" ht="36">
      <c r="A569" s="118">
        <v>1339</v>
      </c>
      <c r="B569" s="127" t="s">
        <v>229</v>
      </c>
      <c r="C569" s="110" t="s">
        <v>54</v>
      </c>
      <c r="D569" s="111">
        <f>0.9*D568</f>
        <v>6.804</v>
      </c>
      <c r="E569" s="235">
        <v>13.47</v>
      </c>
      <c r="F569" s="112">
        <f t="shared" si="8"/>
        <v>91.64988000000001</v>
      </c>
    </row>
    <row r="570" spans="1:6" ht="90">
      <c r="A570" s="118">
        <v>184</v>
      </c>
      <c r="B570" s="127" t="s">
        <v>246</v>
      </c>
      <c r="C570" s="110" t="s">
        <v>231</v>
      </c>
      <c r="D570" s="234">
        <v>2.08</v>
      </c>
      <c r="E570" s="235">
        <v>52.87</v>
      </c>
      <c r="F570" s="112">
        <f t="shared" si="8"/>
        <v>109.9696</v>
      </c>
    </row>
    <row r="571" spans="1:6" ht="18">
      <c r="A571" s="118">
        <v>20247</v>
      </c>
      <c r="B571" s="127" t="s">
        <v>234</v>
      </c>
      <c r="C571" s="110" t="s">
        <v>54</v>
      </c>
      <c r="D571" s="111">
        <v>0.67</v>
      </c>
      <c r="E571" s="235">
        <v>8.11</v>
      </c>
      <c r="F571" s="112">
        <f t="shared" si="8"/>
        <v>5.4337</v>
      </c>
    </row>
    <row r="572" spans="1:6" ht="36">
      <c r="A572" s="118">
        <v>4378</v>
      </c>
      <c r="B572" s="127" t="s">
        <v>235</v>
      </c>
      <c r="C572" s="110" t="s">
        <v>34</v>
      </c>
      <c r="D572" s="111">
        <v>6</v>
      </c>
      <c r="E572" s="235">
        <v>0.37</v>
      </c>
      <c r="F572" s="112">
        <f t="shared" si="8"/>
        <v>2.2199999999999998</v>
      </c>
    </row>
    <row r="573" spans="1:6" ht="36">
      <c r="A573" s="118">
        <v>10556</v>
      </c>
      <c r="B573" s="144" t="s">
        <v>244</v>
      </c>
      <c r="C573" s="110" t="s">
        <v>34</v>
      </c>
      <c r="D573" s="111">
        <v>2</v>
      </c>
      <c r="E573" s="112">
        <v>90.33</v>
      </c>
      <c r="F573" s="112">
        <f t="shared" si="8"/>
        <v>180.66</v>
      </c>
    </row>
    <row r="574" spans="1:6" ht="18">
      <c r="A574" s="118">
        <v>11573</v>
      </c>
      <c r="B574" s="127" t="s">
        <v>247</v>
      </c>
      <c r="C574" s="110" t="s">
        <v>34</v>
      </c>
      <c r="D574" s="234">
        <v>8</v>
      </c>
      <c r="E574" s="235">
        <v>13.75</v>
      </c>
      <c r="F574" s="112">
        <f t="shared" si="8"/>
        <v>110</v>
      </c>
    </row>
    <row r="575" spans="1:6" ht="18">
      <c r="A575" s="118">
        <v>11580</v>
      </c>
      <c r="B575" s="127" t="s">
        <v>248</v>
      </c>
      <c r="C575" s="110" t="s">
        <v>26</v>
      </c>
      <c r="D575" s="234">
        <v>4.54</v>
      </c>
      <c r="E575" s="235">
        <v>9.92</v>
      </c>
      <c r="F575" s="112">
        <f t="shared" si="8"/>
        <v>45.0368</v>
      </c>
    </row>
    <row r="576" spans="1:6" ht="90">
      <c r="A576" s="118">
        <v>20017</v>
      </c>
      <c r="B576" s="127" t="s">
        <v>249</v>
      </c>
      <c r="C576" s="110" t="s">
        <v>26</v>
      </c>
      <c r="D576" s="234">
        <v>22.5</v>
      </c>
      <c r="E576" s="235">
        <v>2.42</v>
      </c>
      <c r="F576" s="112">
        <f t="shared" si="8"/>
        <v>54.449999999999996</v>
      </c>
    </row>
    <row r="577" spans="1:6" ht="18">
      <c r="A577" s="724" t="s">
        <v>103</v>
      </c>
      <c r="B577" s="725"/>
      <c r="C577" s="725"/>
      <c r="D577" s="725"/>
      <c r="E577" s="725"/>
      <c r="F577" s="726"/>
    </row>
    <row r="578" spans="1:6" ht="18">
      <c r="A578" s="118">
        <v>88309</v>
      </c>
      <c r="B578" s="119" t="s">
        <v>94</v>
      </c>
      <c r="C578" s="110" t="s">
        <v>88</v>
      </c>
      <c r="D578" s="111">
        <f>1.4*2</f>
        <v>2.8</v>
      </c>
      <c r="E578" s="112">
        <v>12.51</v>
      </c>
      <c r="F578" s="112">
        <f>D578*E578</f>
        <v>35.028</v>
      </c>
    </row>
    <row r="579" spans="1:6" ht="18">
      <c r="A579" s="236">
        <v>88261</v>
      </c>
      <c r="B579" s="119" t="s">
        <v>241</v>
      </c>
      <c r="C579" s="110" t="s">
        <v>88</v>
      </c>
      <c r="D579" s="111">
        <f>(0.18*D568+(2.05*2))</f>
        <v>5.4608</v>
      </c>
      <c r="E579" s="112">
        <v>12.37</v>
      </c>
      <c r="F579" s="112">
        <f>D579*E579</f>
        <v>67.550096</v>
      </c>
    </row>
    <row r="580" spans="1:6" ht="18">
      <c r="A580" s="230">
        <v>88316</v>
      </c>
      <c r="B580" s="109" t="s">
        <v>95</v>
      </c>
      <c r="C580" s="110" t="s">
        <v>88</v>
      </c>
      <c r="D580" s="111">
        <f>(0.18*D568+(3.45*2))</f>
        <v>8.2608</v>
      </c>
      <c r="E580" s="112">
        <v>9.68</v>
      </c>
      <c r="F580" s="112">
        <f>D580*E580</f>
        <v>79.96454399999999</v>
      </c>
    </row>
    <row r="581" spans="1:6" ht="18">
      <c r="A581" s="735"/>
      <c r="B581" s="736"/>
      <c r="C581" s="736"/>
      <c r="D581" s="736"/>
      <c r="E581" s="736"/>
      <c r="F581" s="737"/>
    </row>
    <row r="582" spans="1:6" ht="18">
      <c r="A582" s="730" t="str">
        <f>"BDI ("&amp;$H$2&amp;"%)"</f>
        <v>BDI (%)</v>
      </c>
      <c r="B582" s="731"/>
      <c r="C582" s="110" t="s">
        <v>80</v>
      </c>
      <c r="D582" s="113">
        <f>$H$2</f>
        <v>0</v>
      </c>
      <c r="E582" s="112">
        <f>SUM(F567:F576,F578:F580)</f>
        <v>887.5100199999999</v>
      </c>
      <c r="F582" s="112">
        <f>D582*E582/100</f>
        <v>0</v>
      </c>
    </row>
    <row r="583" spans="1:6" ht="18">
      <c r="A583" s="689" t="s">
        <v>81</v>
      </c>
      <c r="B583" s="689"/>
      <c r="C583" s="114"/>
      <c r="D583" s="115"/>
      <c r="E583" s="116"/>
      <c r="F583" s="116">
        <f>E582+F582</f>
        <v>887.5100199999999</v>
      </c>
    </row>
    <row r="584" spans="1:6" ht="18">
      <c r="A584" s="120"/>
      <c r="B584" s="121"/>
      <c r="C584" s="122"/>
      <c r="D584" s="123"/>
      <c r="E584" s="124"/>
      <c r="F584" s="125"/>
    </row>
    <row r="585" spans="1:6" ht="18">
      <c r="A585" s="102" t="s">
        <v>107</v>
      </c>
      <c r="B585" s="732" t="s">
        <v>250</v>
      </c>
      <c r="C585" s="733"/>
      <c r="D585" s="733"/>
      <c r="E585" s="733"/>
      <c r="F585" s="734"/>
    </row>
    <row r="586" spans="1:6" ht="36">
      <c r="A586" s="126" t="s">
        <v>99</v>
      </c>
      <c r="B586" s="104" t="s">
        <v>72</v>
      </c>
      <c r="C586" s="105" t="s">
        <v>73</v>
      </c>
      <c r="D586" s="106" t="s">
        <v>74</v>
      </c>
      <c r="E586" s="107" t="s">
        <v>75</v>
      </c>
      <c r="F586" s="107" t="s">
        <v>76</v>
      </c>
    </row>
    <row r="587" spans="1:6" ht="18">
      <c r="A587" s="720" t="s">
        <v>83</v>
      </c>
      <c r="B587" s="722"/>
      <c r="C587" s="722"/>
      <c r="D587" s="722"/>
      <c r="E587" s="722"/>
      <c r="F587" s="723"/>
    </row>
    <row r="588" spans="1:6" ht="18">
      <c r="A588" s="118">
        <v>88631</v>
      </c>
      <c r="B588" s="119" t="s">
        <v>251</v>
      </c>
      <c r="C588" s="110" t="s">
        <v>7</v>
      </c>
      <c r="D588" s="111">
        <v>0.00667</v>
      </c>
      <c r="E588" s="112">
        <v>376.92</v>
      </c>
      <c r="F588" s="112">
        <f>D588*E588</f>
        <v>2.5140564</v>
      </c>
    </row>
    <row r="589" spans="1:6" ht="54">
      <c r="A589" s="118">
        <v>1340</v>
      </c>
      <c r="B589" s="144" t="s">
        <v>252</v>
      </c>
      <c r="C589" s="110" t="s">
        <v>4</v>
      </c>
      <c r="D589" s="111">
        <v>2</v>
      </c>
      <c r="E589" s="112">
        <v>15.53</v>
      </c>
      <c r="F589" s="112">
        <f>D589*E589</f>
        <v>31.06</v>
      </c>
    </row>
    <row r="590" spans="1:6" ht="54">
      <c r="A590" s="118" t="s">
        <v>253</v>
      </c>
      <c r="B590" s="144" t="s">
        <v>254</v>
      </c>
      <c r="C590" s="110" t="s">
        <v>255</v>
      </c>
      <c r="D590" s="111">
        <v>0.7</v>
      </c>
      <c r="E590" s="112">
        <v>52.87</v>
      </c>
      <c r="F590" s="112">
        <f aca="true" t="shared" si="9" ref="F590:F595">D590*E590</f>
        <v>37.00899999999999</v>
      </c>
    </row>
    <row r="591" spans="1:6" ht="18">
      <c r="A591" s="118" t="s">
        <v>256</v>
      </c>
      <c r="B591" s="144" t="s">
        <v>257</v>
      </c>
      <c r="C591" s="110" t="s">
        <v>34</v>
      </c>
      <c r="D591" s="111">
        <v>2.04</v>
      </c>
      <c r="E591" s="112">
        <v>8.03</v>
      </c>
      <c r="F591" s="112">
        <f t="shared" si="9"/>
        <v>16.3812</v>
      </c>
    </row>
    <row r="592" spans="1:6" ht="36">
      <c r="A592" s="118" t="s">
        <v>258</v>
      </c>
      <c r="B592" s="144" t="s">
        <v>259</v>
      </c>
      <c r="C592" s="110" t="s">
        <v>34</v>
      </c>
      <c r="D592" s="111">
        <v>4.08</v>
      </c>
      <c r="E592" s="112">
        <v>0.65</v>
      </c>
      <c r="F592" s="112">
        <f t="shared" si="9"/>
        <v>2.652</v>
      </c>
    </row>
    <row r="593" spans="1:6" ht="18">
      <c r="A593" s="118">
        <v>4992</v>
      </c>
      <c r="B593" s="119" t="s">
        <v>260</v>
      </c>
      <c r="C593" s="110" t="s">
        <v>4</v>
      </c>
      <c r="D593" s="111">
        <v>1</v>
      </c>
      <c r="E593" s="112">
        <v>74.36</v>
      </c>
      <c r="F593" s="112">
        <f t="shared" si="9"/>
        <v>74.36</v>
      </c>
    </row>
    <row r="594" spans="1:6" ht="18">
      <c r="A594" s="118" t="s">
        <v>261</v>
      </c>
      <c r="B594" s="119" t="s">
        <v>232</v>
      </c>
      <c r="C594" s="110" t="s">
        <v>26</v>
      </c>
      <c r="D594" s="111">
        <v>6.66667</v>
      </c>
      <c r="E594" s="112">
        <v>3.36</v>
      </c>
      <c r="F594" s="112">
        <f t="shared" si="9"/>
        <v>22.400011199999998</v>
      </c>
    </row>
    <row r="595" spans="1:6" ht="18">
      <c r="A595" s="118" t="s">
        <v>262</v>
      </c>
      <c r="B595" s="119" t="s">
        <v>263</v>
      </c>
      <c r="C595" s="110" t="s">
        <v>54</v>
      </c>
      <c r="D595" s="111">
        <v>0.4</v>
      </c>
      <c r="E595" s="112">
        <v>8.11</v>
      </c>
      <c r="F595" s="112">
        <f t="shared" si="9"/>
        <v>3.2439999999999998</v>
      </c>
    </row>
    <row r="596" spans="1:6" ht="18">
      <c r="A596" s="118"/>
      <c r="B596" s="119"/>
      <c r="C596" s="110"/>
      <c r="D596" s="111"/>
      <c r="E596" s="112"/>
      <c r="F596" s="112"/>
    </row>
    <row r="597" spans="1:6" ht="18">
      <c r="A597" s="720" t="s">
        <v>103</v>
      </c>
      <c r="B597" s="722"/>
      <c r="C597" s="722"/>
      <c r="D597" s="722"/>
      <c r="E597" s="722"/>
      <c r="F597" s="723"/>
    </row>
    <row r="598" spans="1:6" ht="36">
      <c r="A598" s="175">
        <v>88261</v>
      </c>
      <c r="B598" s="127" t="s">
        <v>264</v>
      </c>
      <c r="C598" s="175" t="s">
        <v>88</v>
      </c>
      <c r="D598" s="237">
        <v>2</v>
      </c>
      <c r="E598" s="175">
        <v>12.37</v>
      </c>
      <c r="F598" s="112">
        <f>D598*E598</f>
        <v>24.74</v>
      </c>
    </row>
    <row r="599" spans="1:6" ht="18">
      <c r="A599" s="118">
        <v>88309</v>
      </c>
      <c r="B599" s="119" t="s">
        <v>94</v>
      </c>
      <c r="C599" s="110" t="s">
        <v>88</v>
      </c>
      <c r="D599" s="111">
        <v>1</v>
      </c>
      <c r="E599" s="238">
        <v>12.51</v>
      </c>
      <c r="F599" s="112">
        <f>D599*E599</f>
        <v>12.51</v>
      </c>
    </row>
    <row r="600" spans="1:6" ht="18">
      <c r="A600" s="118">
        <v>88316</v>
      </c>
      <c r="B600" s="109" t="s">
        <v>95</v>
      </c>
      <c r="C600" s="137" t="s">
        <v>88</v>
      </c>
      <c r="D600" s="111">
        <v>2</v>
      </c>
      <c r="E600" s="140">
        <v>9.68</v>
      </c>
      <c r="F600" s="112">
        <f>D600*E600</f>
        <v>19.36</v>
      </c>
    </row>
    <row r="601" spans="1:6" ht="18">
      <c r="A601" s="735"/>
      <c r="B601" s="736"/>
      <c r="C601" s="736"/>
      <c r="D601" s="736"/>
      <c r="E601" s="736"/>
      <c r="F601" s="737"/>
    </row>
    <row r="602" spans="1:6" ht="18">
      <c r="A602" s="730" t="s">
        <v>426</v>
      </c>
      <c r="B602" s="731"/>
      <c r="C602" s="110" t="s">
        <v>80</v>
      </c>
      <c r="D602" s="113">
        <f>$H$2</f>
        <v>0</v>
      </c>
      <c r="E602" s="112">
        <f>SUM(F588:F596,F598:F600)</f>
        <v>246.2302676</v>
      </c>
      <c r="F602" s="112">
        <f>D602*E602/100</f>
        <v>0</v>
      </c>
    </row>
    <row r="603" spans="1:6" ht="18">
      <c r="A603" s="689" t="s">
        <v>81</v>
      </c>
      <c r="B603" s="689"/>
      <c r="C603" s="114"/>
      <c r="D603" s="115"/>
      <c r="E603" s="116"/>
      <c r="F603" s="116">
        <f>E602+F602</f>
        <v>246.2302676</v>
      </c>
    </row>
    <row r="604" spans="1:6" ht="18">
      <c r="A604" s="170"/>
      <c r="B604" s="170"/>
      <c r="C604" s="171"/>
      <c r="D604" s="172"/>
      <c r="E604" s="173"/>
      <c r="F604" s="173"/>
    </row>
    <row r="605" spans="1:6" ht="36">
      <c r="A605" s="102" t="s">
        <v>265</v>
      </c>
      <c r="B605" s="732" t="s">
        <v>266</v>
      </c>
      <c r="C605" s="733"/>
      <c r="D605" s="733"/>
      <c r="E605" s="733"/>
      <c r="F605" s="734"/>
    </row>
    <row r="606" spans="1:6" ht="36">
      <c r="A606" s="103" t="s">
        <v>99</v>
      </c>
      <c r="B606" s="104" t="s">
        <v>72</v>
      </c>
      <c r="C606" s="105" t="s">
        <v>73</v>
      </c>
      <c r="D606" s="106" t="s">
        <v>74</v>
      </c>
      <c r="E606" s="107" t="s">
        <v>75</v>
      </c>
      <c r="F606" s="107" t="s">
        <v>76</v>
      </c>
    </row>
    <row r="607" spans="1:6" ht="18">
      <c r="A607" s="720" t="s">
        <v>83</v>
      </c>
      <c r="B607" s="722"/>
      <c r="C607" s="722"/>
      <c r="D607" s="722"/>
      <c r="E607" s="722"/>
      <c r="F607" s="723"/>
    </row>
    <row r="608" spans="1:6" ht="18">
      <c r="A608" s="126">
        <v>1379</v>
      </c>
      <c r="B608" s="144" t="s">
        <v>90</v>
      </c>
      <c r="C608" s="110" t="s">
        <v>54</v>
      </c>
      <c r="D608" s="111">
        <v>307.54</v>
      </c>
      <c r="E608" s="112">
        <v>0.56</v>
      </c>
      <c r="F608" s="112">
        <f>ROUNDUP((D608*E608),2)</f>
        <v>172.23</v>
      </c>
    </row>
    <row r="609" spans="1:6" ht="18">
      <c r="A609" s="239">
        <v>1106</v>
      </c>
      <c r="B609" s="240" t="s">
        <v>267</v>
      </c>
      <c r="C609" s="133" t="s">
        <v>54</v>
      </c>
      <c r="D609" s="135">
        <v>80.23</v>
      </c>
      <c r="E609" s="136">
        <v>0.5</v>
      </c>
      <c r="F609" s="136">
        <f>D609*E609</f>
        <v>40.115</v>
      </c>
    </row>
    <row r="610" spans="1:6" ht="18">
      <c r="A610" s="126">
        <v>370</v>
      </c>
      <c r="B610" s="127" t="s">
        <v>100</v>
      </c>
      <c r="C610" s="110" t="s">
        <v>7</v>
      </c>
      <c r="D610" s="111">
        <v>1.2</v>
      </c>
      <c r="E610" s="112">
        <v>26</v>
      </c>
      <c r="F610" s="112">
        <f>D610*E610</f>
        <v>31.2</v>
      </c>
    </row>
    <row r="611" spans="1:6" ht="18">
      <c r="A611" s="685" t="s">
        <v>103</v>
      </c>
      <c r="B611" s="685"/>
      <c r="C611" s="685"/>
      <c r="D611" s="685"/>
      <c r="E611" s="685"/>
      <c r="F611" s="685"/>
    </row>
    <row r="612" spans="1:6" ht="36">
      <c r="A612" s="110">
        <v>88297</v>
      </c>
      <c r="B612" s="127" t="s">
        <v>194</v>
      </c>
      <c r="C612" s="110" t="s">
        <v>88</v>
      </c>
      <c r="D612" s="111">
        <v>8.67</v>
      </c>
      <c r="E612" s="112">
        <v>17.01</v>
      </c>
      <c r="F612" s="112">
        <f>D612*E612</f>
        <v>147.47670000000002</v>
      </c>
    </row>
    <row r="613" spans="1:6" ht="18">
      <c r="A613" s="689" t="s">
        <v>81</v>
      </c>
      <c r="B613" s="689"/>
      <c r="C613" s="114"/>
      <c r="D613" s="115"/>
      <c r="E613" s="116"/>
      <c r="F613" s="116">
        <f>SUM(F608:F610,F612)</f>
        <v>391.0217</v>
      </c>
    </row>
    <row r="614" spans="1:6" ht="18">
      <c r="A614" s="184"/>
      <c r="B614" s="184"/>
      <c r="C614" s="184"/>
      <c r="D614" s="184"/>
      <c r="E614" s="184"/>
      <c r="F614" s="184"/>
    </row>
    <row r="615" spans="1:6" ht="36">
      <c r="A615" s="102" t="s">
        <v>268</v>
      </c>
      <c r="B615" s="687" t="s">
        <v>269</v>
      </c>
      <c r="C615" s="687"/>
      <c r="D615" s="687"/>
      <c r="E615" s="687"/>
      <c r="F615" s="687"/>
    </row>
    <row r="616" spans="1:6" ht="36">
      <c r="A616" s="126" t="s">
        <v>99</v>
      </c>
      <c r="B616" s="105" t="s">
        <v>72</v>
      </c>
      <c r="C616" s="105" t="s">
        <v>73</v>
      </c>
      <c r="D616" s="106" t="s">
        <v>74</v>
      </c>
      <c r="E616" s="107" t="s">
        <v>75</v>
      </c>
      <c r="F616" s="107" t="s">
        <v>76</v>
      </c>
    </row>
    <row r="617" spans="1:6" ht="18">
      <c r="A617" s="685" t="s">
        <v>83</v>
      </c>
      <c r="B617" s="685"/>
      <c r="C617" s="685"/>
      <c r="D617" s="685"/>
      <c r="E617" s="685"/>
      <c r="F617" s="685"/>
    </row>
    <row r="618" spans="1:6" ht="54">
      <c r="A618" s="126">
        <v>88627</v>
      </c>
      <c r="B618" s="127" t="s">
        <v>270</v>
      </c>
      <c r="C618" s="110" t="s">
        <v>7</v>
      </c>
      <c r="D618" s="111">
        <v>0.006</v>
      </c>
      <c r="E618" s="112">
        <f>F613</f>
        <v>391.0217</v>
      </c>
      <c r="F618" s="112">
        <f>D618*E618</f>
        <v>2.3461302</v>
      </c>
    </row>
    <row r="619" spans="1:6" ht="36">
      <c r="A619" s="126">
        <v>4917</v>
      </c>
      <c r="B619" s="127" t="s">
        <v>271</v>
      </c>
      <c r="C619" s="110" t="s">
        <v>4</v>
      </c>
      <c r="D619" s="111">
        <v>1</v>
      </c>
      <c r="E619" s="112">
        <v>520.59</v>
      </c>
      <c r="F619" s="112">
        <f>D619*E619</f>
        <v>520.59</v>
      </c>
    </row>
    <row r="620" spans="1:6" ht="18">
      <c r="A620" s="685" t="s">
        <v>103</v>
      </c>
      <c r="B620" s="685"/>
      <c r="C620" s="685"/>
      <c r="D620" s="685"/>
      <c r="E620" s="685"/>
      <c r="F620" s="685"/>
    </row>
    <row r="621" spans="1:6" ht="18">
      <c r="A621" s="228">
        <v>88309</v>
      </c>
      <c r="B621" s="229" t="s">
        <v>94</v>
      </c>
      <c r="C621" s="181" t="s">
        <v>88</v>
      </c>
      <c r="D621" s="182">
        <v>0.5</v>
      </c>
      <c r="E621" s="183">
        <v>12.51</v>
      </c>
      <c r="F621" s="183">
        <f>ROUNDUP((D621*E621),2)</f>
        <v>6.26</v>
      </c>
    </row>
    <row r="622" spans="1:6" ht="18">
      <c r="A622" s="230">
        <v>88316</v>
      </c>
      <c r="B622" s="109" t="s">
        <v>95</v>
      </c>
      <c r="C622" s="110" t="s">
        <v>88</v>
      </c>
      <c r="D622" s="111">
        <v>2.2</v>
      </c>
      <c r="E622" s="112">
        <v>9.68</v>
      </c>
      <c r="F622" s="183">
        <f>ROUNDUP((D622*E622),2)</f>
        <v>21.3</v>
      </c>
    </row>
    <row r="623" spans="1:6" ht="18">
      <c r="A623" s="230">
        <v>88315</v>
      </c>
      <c r="B623" s="109" t="s">
        <v>272</v>
      </c>
      <c r="C623" s="110" t="s">
        <v>88</v>
      </c>
      <c r="D623" s="111">
        <v>1.3</v>
      </c>
      <c r="E623" s="112">
        <v>11.98</v>
      </c>
      <c r="F623" s="183">
        <f>ROUNDUP((D623*E623),2)</f>
        <v>15.58</v>
      </c>
    </row>
    <row r="624" spans="1:6" ht="18">
      <c r="A624" s="735"/>
      <c r="B624" s="736"/>
      <c r="C624" s="736"/>
      <c r="D624" s="736"/>
      <c r="E624" s="736"/>
      <c r="F624" s="737"/>
    </row>
    <row r="625" spans="1:6" ht="18">
      <c r="A625" s="730" t="str">
        <f>"BDI ("&amp;$H$2&amp;"%)"</f>
        <v>BDI (%)</v>
      </c>
      <c r="B625" s="731"/>
      <c r="C625" s="110" t="s">
        <v>80</v>
      </c>
      <c r="D625" s="113">
        <f>$H$2</f>
        <v>0</v>
      </c>
      <c r="E625" s="112">
        <f>SUM(F618:F619,F621:F623)</f>
        <v>566.0761302</v>
      </c>
      <c r="F625" s="112">
        <f>D625*E625/100</f>
        <v>0</v>
      </c>
    </row>
    <row r="626" spans="1:6" ht="18">
      <c r="A626" s="689" t="s">
        <v>81</v>
      </c>
      <c r="B626" s="689"/>
      <c r="C626" s="114"/>
      <c r="D626" s="115"/>
      <c r="E626" s="116"/>
      <c r="F626" s="116">
        <f>E625+F625</f>
        <v>566.0761302</v>
      </c>
    </row>
    <row r="627" spans="1:6" ht="18">
      <c r="A627" s="184"/>
      <c r="B627" s="184"/>
      <c r="C627" s="184"/>
      <c r="D627" s="184"/>
      <c r="E627" s="184"/>
      <c r="F627" s="184"/>
    </row>
    <row r="628" spans="1:6" ht="18">
      <c r="A628" s="102" t="s">
        <v>69</v>
      </c>
      <c r="B628" s="687" t="s">
        <v>273</v>
      </c>
      <c r="C628" s="687"/>
      <c r="D628" s="687"/>
      <c r="E628" s="687"/>
      <c r="F628" s="687"/>
    </row>
    <row r="629" spans="1:6" ht="36">
      <c r="A629" s="126" t="s">
        <v>99</v>
      </c>
      <c r="B629" s="105" t="s">
        <v>72</v>
      </c>
      <c r="C629" s="105" t="s">
        <v>73</v>
      </c>
      <c r="D629" s="106" t="s">
        <v>74</v>
      </c>
      <c r="E629" s="107" t="s">
        <v>75</v>
      </c>
      <c r="F629" s="107" t="s">
        <v>76</v>
      </c>
    </row>
    <row r="630" spans="1:6" ht="18">
      <c r="A630" s="685" t="s">
        <v>83</v>
      </c>
      <c r="B630" s="685"/>
      <c r="C630" s="685"/>
      <c r="D630" s="685"/>
      <c r="E630" s="685"/>
      <c r="F630" s="685"/>
    </row>
    <row r="631" spans="1:6" ht="36">
      <c r="A631" s="126" t="s">
        <v>84</v>
      </c>
      <c r="B631" s="127" t="s">
        <v>274</v>
      </c>
      <c r="C631" s="110" t="s">
        <v>4</v>
      </c>
      <c r="D631" s="111">
        <v>1</v>
      </c>
      <c r="E631" s="112">
        <v>226.72</v>
      </c>
      <c r="F631" s="112">
        <f>D631*E631</f>
        <v>226.72</v>
      </c>
    </row>
    <row r="632" spans="1:6" ht="36">
      <c r="A632" s="126" t="s">
        <v>84</v>
      </c>
      <c r="B632" s="127" t="s">
        <v>275</v>
      </c>
      <c r="C632" s="110" t="s">
        <v>26</v>
      </c>
      <c r="D632" s="111">
        <v>0.8</v>
      </c>
      <c r="E632" s="112">
        <v>16.66</v>
      </c>
      <c r="F632" s="112">
        <f>D632*E632</f>
        <v>13.328000000000001</v>
      </c>
    </row>
    <row r="633" spans="1:6" ht="18">
      <c r="A633" s="685" t="s">
        <v>103</v>
      </c>
      <c r="B633" s="685"/>
      <c r="C633" s="685"/>
      <c r="D633" s="685"/>
      <c r="E633" s="685"/>
      <c r="F633" s="685"/>
    </row>
    <row r="634" spans="1:6" ht="18">
      <c r="A634" s="228">
        <v>88309</v>
      </c>
      <c r="B634" s="229" t="s">
        <v>94</v>
      </c>
      <c r="C634" s="181" t="s">
        <v>88</v>
      </c>
      <c r="D634" s="182">
        <v>3</v>
      </c>
      <c r="E634" s="183">
        <v>12.51</v>
      </c>
      <c r="F634" s="183">
        <f>D634*E634</f>
        <v>37.53</v>
      </c>
    </row>
    <row r="635" spans="1:6" ht="18">
      <c r="A635" s="230">
        <v>88316</v>
      </c>
      <c r="B635" s="109" t="s">
        <v>95</v>
      </c>
      <c r="C635" s="110" t="s">
        <v>88</v>
      </c>
      <c r="D635" s="182">
        <v>3</v>
      </c>
      <c r="E635" s="112">
        <v>9.68</v>
      </c>
      <c r="F635" s="183">
        <f>D635*E635</f>
        <v>29.04</v>
      </c>
    </row>
    <row r="636" spans="1:6" ht="18">
      <c r="A636" s="735"/>
      <c r="B636" s="736"/>
      <c r="C636" s="736"/>
      <c r="D636" s="736"/>
      <c r="E636" s="736"/>
      <c r="F636" s="737"/>
    </row>
    <row r="637" spans="1:6" ht="18">
      <c r="A637" s="730" t="str">
        <f>"BDI ("&amp;$H$2&amp;"%)"</f>
        <v>BDI (%)</v>
      </c>
      <c r="B637" s="731"/>
      <c r="C637" s="110" t="s">
        <v>80</v>
      </c>
      <c r="D637" s="113">
        <f>$H$2</f>
        <v>0</v>
      </c>
      <c r="E637" s="112">
        <f>SUM(F631:F632,F634:F635)</f>
        <v>306.618</v>
      </c>
      <c r="F637" s="112">
        <f>D637*E637/100</f>
        <v>0</v>
      </c>
    </row>
    <row r="638" spans="1:6" ht="18">
      <c r="A638" s="689" t="s">
        <v>81</v>
      </c>
      <c r="B638" s="689"/>
      <c r="C638" s="114"/>
      <c r="D638" s="115"/>
      <c r="E638" s="116"/>
      <c r="F638" s="116">
        <f>E637+F637</f>
        <v>306.618</v>
      </c>
    </row>
    <row r="639" spans="1:6" ht="18">
      <c r="A639" s="184"/>
      <c r="B639" s="184"/>
      <c r="C639" s="184"/>
      <c r="D639" s="184"/>
      <c r="E639" s="184"/>
      <c r="F639" s="184"/>
    </row>
    <row r="640" spans="1:6" ht="18">
      <c r="A640" s="102" t="s">
        <v>107</v>
      </c>
      <c r="B640" s="687" t="s">
        <v>276</v>
      </c>
      <c r="C640" s="687"/>
      <c r="D640" s="687"/>
      <c r="E640" s="687"/>
      <c r="F640" s="687"/>
    </row>
    <row r="641" spans="1:6" ht="36">
      <c r="A641" s="126" t="s">
        <v>99</v>
      </c>
      <c r="B641" s="105" t="s">
        <v>72</v>
      </c>
      <c r="C641" s="105" t="s">
        <v>73</v>
      </c>
      <c r="D641" s="106" t="s">
        <v>74</v>
      </c>
      <c r="E641" s="107" t="s">
        <v>75</v>
      </c>
      <c r="F641" s="107" t="s">
        <v>76</v>
      </c>
    </row>
    <row r="642" spans="1:6" ht="18">
      <c r="A642" s="685" t="s">
        <v>83</v>
      </c>
      <c r="B642" s="685"/>
      <c r="C642" s="685"/>
      <c r="D642" s="685"/>
      <c r="E642" s="685"/>
      <c r="F642" s="685"/>
    </row>
    <row r="643" spans="1:6" ht="54">
      <c r="A643" s="126">
        <v>88627</v>
      </c>
      <c r="B643" s="127" t="s">
        <v>270</v>
      </c>
      <c r="C643" s="110" t="s">
        <v>7</v>
      </c>
      <c r="D643" s="111">
        <f>0.006</f>
        <v>0.006</v>
      </c>
      <c r="E643" s="112">
        <f>F613</f>
        <v>391.0217</v>
      </c>
      <c r="F643" s="112">
        <f>D643*E643</f>
        <v>2.3461302</v>
      </c>
    </row>
    <row r="644" spans="1:6" ht="36">
      <c r="A644" s="126">
        <v>4917</v>
      </c>
      <c r="B644" s="127" t="s">
        <v>271</v>
      </c>
      <c r="C644" s="110" t="s">
        <v>4</v>
      </c>
      <c r="D644" s="111">
        <v>1</v>
      </c>
      <c r="E644" s="112">
        <v>520.59</v>
      </c>
      <c r="F644" s="112">
        <f>D644*E644</f>
        <v>520.59</v>
      </c>
    </row>
    <row r="645" spans="1:6" ht="18">
      <c r="A645" s="118">
        <v>11573</v>
      </c>
      <c r="B645" s="127" t="s">
        <v>247</v>
      </c>
      <c r="C645" s="110" t="s">
        <v>34</v>
      </c>
      <c r="D645" s="234">
        <v>2</v>
      </c>
      <c r="E645" s="235">
        <v>13.75</v>
      </c>
      <c r="F645" s="112">
        <f>D645*E645</f>
        <v>27.5</v>
      </c>
    </row>
    <row r="646" spans="1:6" ht="18">
      <c r="A646" s="118">
        <v>11580</v>
      </c>
      <c r="B646" s="127" t="s">
        <v>248</v>
      </c>
      <c r="C646" s="110" t="s">
        <v>26</v>
      </c>
      <c r="D646" s="234">
        <v>1.2</v>
      </c>
      <c r="E646" s="235">
        <v>9.92</v>
      </c>
      <c r="F646" s="112">
        <f>D646*E646</f>
        <v>11.904</v>
      </c>
    </row>
    <row r="647" spans="1:6" ht="18">
      <c r="A647" s="685" t="s">
        <v>103</v>
      </c>
      <c r="B647" s="685"/>
      <c r="C647" s="685"/>
      <c r="D647" s="685"/>
      <c r="E647" s="685"/>
      <c r="F647" s="685"/>
    </row>
    <row r="648" spans="1:6" ht="18">
      <c r="A648" s="228">
        <v>88309</v>
      </c>
      <c r="B648" s="229" t="s">
        <v>94</v>
      </c>
      <c r="C648" s="181" t="s">
        <v>88</v>
      </c>
      <c r="D648" s="182">
        <f>0.5</f>
        <v>0.5</v>
      </c>
      <c r="E648" s="183">
        <v>12.51</v>
      </c>
      <c r="F648" s="183">
        <f>ROUNDUP((D648*E648),2)</f>
        <v>6.26</v>
      </c>
    </row>
    <row r="649" spans="1:6" ht="18">
      <c r="A649" s="230">
        <v>88316</v>
      </c>
      <c r="B649" s="109" t="s">
        <v>95</v>
      </c>
      <c r="C649" s="110" t="s">
        <v>88</v>
      </c>
      <c r="D649" s="111">
        <f>2.2</f>
        <v>2.2</v>
      </c>
      <c r="E649" s="112">
        <v>9.68</v>
      </c>
      <c r="F649" s="183">
        <f>ROUNDUP((D649*E649),2)</f>
        <v>21.3</v>
      </c>
    </row>
    <row r="650" spans="1:6" ht="18">
      <c r="A650" s="230">
        <v>88315</v>
      </c>
      <c r="B650" s="109" t="s">
        <v>272</v>
      </c>
      <c r="C650" s="110" t="s">
        <v>88</v>
      </c>
      <c r="D650" s="111">
        <f>1.3</f>
        <v>1.3</v>
      </c>
      <c r="E650" s="112">
        <v>11.98</v>
      </c>
      <c r="F650" s="183">
        <f>ROUNDUP((D650*E650),2)</f>
        <v>15.58</v>
      </c>
    </row>
    <row r="651" spans="1:6" ht="18">
      <c r="A651" s="730" t="str">
        <f>"BDI ("&amp;$H$2&amp;"%)"</f>
        <v>BDI (%)</v>
      </c>
      <c r="B651" s="731"/>
      <c r="C651" s="110" t="s">
        <v>80</v>
      </c>
      <c r="D651" s="113">
        <f>$H$2</f>
        <v>0</v>
      </c>
      <c r="E651" s="112">
        <f>SUM(F643:F646,F648:F650)</f>
        <v>605.4801302</v>
      </c>
      <c r="F651" s="112">
        <f>D651*E651/100</f>
        <v>0</v>
      </c>
    </row>
    <row r="652" spans="1:6" ht="18">
      <c r="A652" s="689" t="s">
        <v>81</v>
      </c>
      <c r="B652" s="689"/>
      <c r="C652" s="114"/>
      <c r="D652" s="115"/>
      <c r="E652" s="116"/>
      <c r="F652" s="116">
        <f>E651+F651</f>
        <v>605.4801302</v>
      </c>
    </row>
    <row r="653" spans="1:6" ht="18">
      <c r="A653" s="184"/>
      <c r="B653" s="184"/>
      <c r="C653" s="184"/>
      <c r="D653" s="184"/>
      <c r="E653" s="184"/>
      <c r="F653" s="184"/>
    </row>
    <row r="654" spans="1:6" ht="36">
      <c r="A654" s="102" t="s">
        <v>277</v>
      </c>
      <c r="B654" s="732" t="s">
        <v>278</v>
      </c>
      <c r="C654" s="733"/>
      <c r="D654" s="733"/>
      <c r="E654" s="733"/>
      <c r="F654" s="734"/>
    </row>
    <row r="655" spans="1:6" ht="36">
      <c r="A655" s="103" t="s">
        <v>99</v>
      </c>
      <c r="B655" s="104" t="s">
        <v>72</v>
      </c>
      <c r="C655" s="105" t="s">
        <v>73</v>
      </c>
      <c r="D655" s="106" t="s">
        <v>74</v>
      </c>
      <c r="E655" s="107" t="s">
        <v>75</v>
      </c>
      <c r="F655" s="107" t="s">
        <v>76</v>
      </c>
    </row>
    <row r="656" spans="1:6" ht="18">
      <c r="A656" s="720" t="s">
        <v>83</v>
      </c>
      <c r="B656" s="721"/>
      <c r="C656" s="722"/>
      <c r="D656" s="722"/>
      <c r="E656" s="722"/>
      <c r="F656" s="723"/>
    </row>
    <row r="657" spans="1:6" ht="18">
      <c r="A657" s="141">
        <v>367</v>
      </c>
      <c r="B657" s="160" t="s">
        <v>279</v>
      </c>
      <c r="C657" s="163" t="s">
        <v>7</v>
      </c>
      <c r="D657" s="111">
        <v>0.005</v>
      </c>
      <c r="E657" s="112">
        <v>70</v>
      </c>
      <c r="F657" s="112">
        <f>D657*E657</f>
        <v>0.35000000000000003</v>
      </c>
    </row>
    <row r="658" spans="1:6" ht="36">
      <c r="A658" s="141">
        <v>601</v>
      </c>
      <c r="B658" s="160" t="s">
        <v>280</v>
      </c>
      <c r="C658" s="163" t="s">
        <v>4</v>
      </c>
      <c r="D658" s="111">
        <v>1.1</v>
      </c>
      <c r="E658" s="112">
        <v>420.91</v>
      </c>
      <c r="F658" s="112">
        <f>D658*E658</f>
        <v>463.0010000000001</v>
      </c>
    </row>
    <row r="659" spans="1:6" ht="18">
      <c r="A659" s="141">
        <v>1379</v>
      </c>
      <c r="B659" s="160" t="s">
        <v>281</v>
      </c>
      <c r="C659" s="163" t="s">
        <v>54</v>
      </c>
      <c r="D659" s="111">
        <v>2.12</v>
      </c>
      <c r="E659" s="112">
        <v>0.56</v>
      </c>
      <c r="F659" s="112">
        <f>D659*E659</f>
        <v>1.1872000000000003</v>
      </c>
    </row>
    <row r="660" spans="1:6" ht="18">
      <c r="A660" s="724" t="s">
        <v>103</v>
      </c>
      <c r="B660" s="725"/>
      <c r="C660" s="725"/>
      <c r="D660" s="725"/>
      <c r="E660" s="725"/>
      <c r="F660" s="726"/>
    </row>
    <row r="661" spans="1:6" ht="18">
      <c r="A661" s="118">
        <v>88309</v>
      </c>
      <c r="B661" s="229" t="s">
        <v>94</v>
      </c>
      <c r="C661" s="110" t="s">
        <v>88</v>
      </c>
      <c r="D661" s="111">
        <v>1</v>
      </c>
      <c r="E661" s="112">
        <v>12.51</v>
      </c>
      <c r="F661" s="112">
        <f>D661*E661</f>
        <v>12.51</v>
      </c>
    </row>
    <row r="662" spans="1:6" ht="18">
      <c r="A662" s="108">
        <v>88316</v>
      </c>
      <c r="B662" s="109" t="s">
        <v>95</v>
      </c>
      <c r="C662" s="110" t="s">
        <v>88</v>
      </c>
      <c r="D662" s="111">
        <v>1.1</v>
      </c>
      <c r="E662" s="112">
        <v>9.68</v>
      </c>
      <c r="F662" s="112">
        <f>D662*E662</f>
        <v>10.648</v>
      </c>
    </row>
    <row r="663" spans="1:6" ht="18">
      <c r="A663" s="727"/>
      <c r="B663" s="728"/>
      <c r="C663" s="728"/>
      <c r="D663" s="728"/>
      <c r="E663" s="728"/>
      <c r="F663" s="729"/>
    </row>
    <row r="664" spans="1:6" ht="18">
      <c r="A664" s="730" t="str">
        <f>"BDI ("&amp;$H$2&amp;"%)"</f>
        <v>BDI (%)</v>
      </c>
      <c r="B664" s="731"/>
      <c r="C664" s="110" t="s">
        <v>80</v>
      </c>
      <c r="D664" s="113">
        <f>$H$2</f>
        <v>0</v>
      </c>
      <c r="E664" s="112">
        <f>SUM(F657:F659,F661:F662)</f>
        <v>487.69620000000015</v>
      </c>
      <c r="F664" s="112">
        <f>D664*E664/100</f>
        <v>0</v>
      </c>
    </row>
    <row r="665" spans="1:6" ht="18">
      <c r="A665" s="689" t="s">
        <v>81</v>
      </c>
      <c r="B665" s="689"/>
      <c r="C665" s="114"/>
      <c r="D665" s="115"/>
      <c r="E665" s="116"/>
      <c r="F665" s="116">
        <f>E664+F664</f>
        <v>487.69620000000015</v>
      </c>
    </row>
    <row r="667" spans="1:6" ht="15.75">
      <c r="A667" s="83" t="s">
        <v>282</v>
      </c>
      <c r="B667" s="717" t="s">
        <v>283</v>
      </c>
      <c r="C667" s="717"/>
      <c r="D667" s="717"/>
      <c r="E667" s="717"/>
      <c r="F667" s="717"/>
    </row>
    <row r="668" spans="1:6" ht="30">
      <c r="A668" s="93" t="s">
        <v>99</v>
      </c>
      <c r="B668" s="75" t="s">
        <v>72</v>
      </c>
      <c r="C668" s="75" t="s">
        <v>73</v>
      </c>
      <c r="D668" s="85" t="s">
        <v>74</v>
      </c>
      <c r="E668" s="86" t="s">
        <v>75</v>
      </c>
      <c r="F668" s="86" t="s">
        <v>76</v>
      </c>
    </row>
    <row r="669" spans="1:6" ht="15">
      <c r="A669" s="714" t="s">
        <v>83</v>
      </c>
      <c r="B669" s="714"/>
      <c r="C669" s="714"/>
      <c r="D669" s="714"/>
      <c r="E669" s="714"/>
      <c r="F669" s="714"/>
    </row>
    <row r="670" spans="1:6" ht="30">
      <c r="A670" s="44">
        <v>4463</v>
      </c>
      <c r="B670" s="76" t="s">
        <v>427</v>
      </c>
      <c r="C670" s="44" t="s">
        <v>7</v>
      </c>
      <c r="D670" s="64">
        <v>0.025</v>
      </c>
      <c r="E670" s="46">
        <v>2506.66</v>
      </c>
      <c r="F670" s="46">
        <f>D670*E670</f>
        <v>62.6665</v>
      </c>
    </row>
    <row r="671" spans="1:6" ht="15">
      <c r="A671" s="44">
        <v>5061</v>
      </c>
      <c r="B671" s="76" t="s">
        <v>284</v>
      </c>
      <c r="C671" s="44" t="s">
        <v>54</v>
      </c>
      <c r="D671" s="64">
        <v>0.12</v>
      </c>
      <c r="E671" s="46">
        <v>7.67</v>
      </c>
      <c r="F671" s="46">
        <f>D671*E671</f>
        <v>0.9204</v>
      </c>
    </row>
    <row r="672" spans="1:6" ht="45">
      <c r="A672" s="44">
        <v>21142</v>
      </c>
      <c r="B672" s="76" t="s">
        <v>285</v>
      </c>
      <c r="C672" s="44" t="s">
        <v>34</v>
      </c>
      <c r="D672" s="64">
        <v>0.1</v>
      </c>
      <c r="E672" s="46">
        <v>14.14</v>
      </c>
      <c r="F672" s="46">
        <f>D672*E672</f>
        <v>1.4140000000000001</v>
      </c>
    </row>
    <row r="673" spans="1:6" ht="15">
      <c r="A673" s="714" t="s">
        <v>103</v>
      </c>
      <c r="B673" s="714"/>
      <c r="C673" s="714"/>
      <c r="D673" s="714"/>
      <c r="E673" s="714"/>
      <c r="F673" s="714"/>
    </row>
    <row r="674" spans="1:6" ht="15">
      <c r="A674" s="58">
        <v>88262</v>
      </c>
      <c r="B674" s="76" t="s">
        <v>93</v>
      </c>
      <c r="C674" s="44" t="s">
        <v>88</v>
      </c>
      <c r="D674" s="64">
        <v>1.2</v>
      </c>
      <c r="E674" s="46">
        <v>12.51</v>
      </c>
      <c r="F674" s="46">
        <f>D674*E674</f>
        <v>15.011999999999999</v>
      </c>
    </row>
    <row r="675" spans="1:6" ht="15">
      <c r="A675" s="241">
        <v>88239</v>
      </c>
      <c r="B675" s="76" t="s">
        <v>135</v>
      </c>
      <c r="C675" s="44" t="s">
        <v>88</v>
      </c>
      <c r="D675" s="64">
        <v>1.2</v>
      </c>
      <c r="E675" s="242">
        <v>10.13</v>
      </c>
      <c r="F675" s="46">
        <f>D675*E675</f>
        <v>12.156</v>
      </c>
    </row>
    <row r="676" spans="1:6" ht="15">
      <c r="A676" s="719"/>
      <c r="B676" s="719"/>
      <c r="C676" s="719"/>
      <c r="D676" s="719"/>
      <c r="E676" s="719"/>
      <c r="F676" s="719"/>
    </row>
    <row r="677" spans="1:6" ht="15">
      <c r="A677" s="716" t="str">
        <f>"BDI ("&amp;$H$2&amp;"%)"</f>
        <v>BDI (%)</v>
      </c>
      <c r="B677" s="716"/>
      <c r="C677" s="44" t="s">
        <v>80</v>
      </c>
      <c r="D677" s="45">
        <f>$H$2</f>
        <v>0</v>
      </c>
      <c r="E677" s="46">
        <f>SUM(F670:F672,F674:F675)</f>
        <v>92.16890000000001</v>
      </c>
      <c r="F677" s="46">
        <f>D677*E677/100</f>
        <v>0</v>
      </c>
    </row>
    <row r="678" spans="1:6" ht="15.75">
      <c r="A678" s="704" t="s">
        <v>81</v>
      </c>
      <c r="B678" s="704"/>
      <c r="C678" s="48"/>
      <c r="D678" s="92"/>
      <c r="E678" s="50"/>
      <c r="F678" s="50">
        <f>E677+F677</f>
        <v>92.16890000000001</v>
      </c>
    </row>
    <row r="679" spans="1:6" ht="15.75">
      <c r="A679" s="243"/>
      <c r="B679" s="243"/>
      <c r="C679" s="28"/>
      <c r="D679" s="28"/>
      <c r="E679" s="28"/>
      <c r="F679" s="28"/>
    </row>
    <row r="680" spans="1:6" ht="15.75">
      <c r="A680" s="83" t="s">
        <v>286</v>
      </c>
      <c r="B680" s="717" t="s">
        <v>428</v>
      </c>
      <c r="C680" s="717"/>
      <c r="D680" s="717"/>
      <c r="E680" s="717"/>
      <c r="F680" s="717"/>
    </row>
    <row r="681" spans="1:6" ht="30">
      <c r="A681" s="93" t="s">
        <v>99</v>
      </c>
      <c r="B681" s="75" t="s">
        <v>72</v>
      </c>
      <c r="C681" s="75" t="s">
        <v>73</v>
      </c>
      <c r="D681" s="85" t="s">
        <v>74</v>
      </c>
      <c r="E681" s="86" t="s">
        <v>75</v>
      </c>
      <c r="F681" s="86" t="s">
        <v>76</v>
      </c>
    </row>
    <row r="682" spans="1:6" ht="15">
      <c r="A682" s="714" t="s">
        <v>83</v>
      </c>
      <c r="B682" s="714"/>
      <c r="C682" s="714"/>
      <c r="D682" s="714"/>
      <c r="E682" s="714"/>
      <c r="F682" s="714"/>
    </row>
    <row r="683" spans="1:6" ht="45">
      <c r="A683" s="44">
        <v>88628</v>
      </c>
      <c r="B683" s="76" t="s">
        <v>287</v>
      </c>
      <c r="C683" s="44" t="s">
        <v>7</v>
      </c>
      <c r="D683" s="64">
        <v>0.003</v>
      </c>
      <c r="E683" s="46">
        <v>336.67</v>
      </c>
      <c r="F683" s="46">
        <f>D683*E683</f>
        <v>1.01001</v>
      </c>
    </row>
    <row r="684" spans="1:6" ht="15">
      <c r="A684" s="44">
        <v>337</v>
      </c>
      <c r="B684" s="76" t="s">
        <v>288</v>
      </c>
      <c r="C684" s="44" t="s">
        <v>54</v>
      </c>
      <c r="D684" s="64">
        <v>0.034</v>
      </c>
      <c r="E684" s="46">
        <v>9</v>
      </c>
      <c r="F684" s="46">
        <f aca="true" t="shared" si="10" ref="F684:F685">D684*E684</f>
        <v>0.30600000000000005</v>
      </c>
    </row>
    <row r="685" spans="1:6" ht="45">
      <c r="A685" s="44">
        <v>7172</v>
      </c>
      <c r="B685" s="76" t="s">
        <v>441</v>
      </c>
      <c r="C685" s="44" t="s">
        <v>34</v>
      </c>
      <c r="D685" s="64">
        <v>25</v>
      </c>
      <c r="E685" s="46">
        <v>0.98</v>
      </c>
      <c r="F685" s="46">
        <f t="shared" si="10"/>
        <v>24.5</v>
      </c>
    </row>
    <row r="686" spans="1:6" ht="15">
      <c r="A686" s="714" t="s">
        <v>103</v>
      </c>
      <c r="B686" s="714"/>
      <c r="C686" s="714"/>
      <c r="D686" s="714"/>
      <c r="E686" s="714"/>
      <c r="F686" s="714"/>
    </row>
    <row r="687" spans="1:6" ht="15">
      <c r="A687" s="58">
        <v>88316</v>
      </c>
      <c r="B687" s="76" t="s">
        <v>106</v>
      </c>
      <c r="C687" s="44" t="s">
        <v>88</v>
      </c>
      <c r="D687" s="64">
        <v>2</v>
      </c>
      <c r="E687" s="46">
        <v>13.03</v>
      </c>
      <c r="F687" s="46">
        <f>D687*E687</f>
        <v>26.06</v>
      </c>
    </row>
    <row r="688" spans="1:6" ht="15">
      <c r="A688" s="241">
        <v>88323</v>
      </c>
      <c r="B688" s="76" t="s">
        <v>289</v>
      </c>
      <c r="C688" s="44" t="s">
        <v>88</v>
      </c>
      <c r="D688" s="64">
        <v>1.5</v>
      </c>
      <c r="E688" s="242">
        <v>16.35</v>
      </c>
      <c r="F688" s="46">
        <f>D688*E688</f>
        <v>24.525000000000002</v>
      </c>
    </row>
    <row r="689" spans="1:6" ht="15">
      <c r="A689" s="719"/>
      <c r="B689" s="719"/>
      <c r="C689" s="719"/>
      <c r="D689" s="719"/>
      <c r="E689" s="719"/>
      <c r="F689" s="719"/>
    </row>
    <row r="690" spans="1:6" ht="15">
      <c r="A690" s="716" t="str">
        <f>"BDI ("&amp;$H$2&amp;"%)"</f>
        <v>BDI (%)</v>
      </c>
      <c r="B690" s="716"/>
      <c r="C690" s="44" t="s">
        <v>80</v>
      </c>
      <c r="D690" s="45">
        <f>$H$2</f>
        <v>0</v>
      </c>
      <c r="E690" s="46">
        <f>SUM(F683:F685,F687:F688)</f>
        <v>76.40101</v>
      </c>
      <c r="F690" s="46">
        <f>D690*E690/100</f>
        <v>0</v>
      </c>
    </row>
    <row r="691" spans="1:6" ht="15.75">
      <c r="A691" s="704" t="s">
        <v>81</v>
      </c>
      <c r="B691" s="704"/>
      <c r="C691" s="48"/>
      <c r="D691" s="92"/>
      <c r="E691" s="50"/>
      <c r="F691" s="50">
        <f>E690+F690</f>
        <v>76.40101</v>
      </c>
    </row>
    <row r="692" spans="1:6" ht="15.75">
      <c r="A692" s="243"/>
      <c r="B692" s="243"/>
      <c r="C692" s="28"/>
      <c r="D692" s="28"/>
      <c r="E692" s="28"/>
      <c r="F692" s="28"/>
    </row>
    <row r="693" spans="1:6" ht="15.75">
      <c r="A693" s="83" t="s">
        <v>107</v>
      </c>
      <c r="B693" s="717" t="s">
        <v>429</v>
      </c>
      <c r="C693" s="717"/>
      <c r="D693" s="717"/>
      <c r="E693" s="717"/>
      <c r="F693" s="717"/>
    </row>
    <row r="694" spans="1:6" ht="30">
      <c r="A694" s="93" t="s">
        <v>99</v>
      </c>
      <c r="B694" s="75" t="s">
        <v>72</v>
      </c>
      <c r="C694" s="75" t="s">
        <v>73</v>
      </c>
      <c r="D694" s="85" t="s">
        <v>74</v>
      </c>
      <c r="E694" s="86" t="s">
        <v>75</v>
      </c>
      <c r="F694" s="86" t="s">
        <v>76</v>
      </c>
    </row>
    <row r="695" spans="1:6" ht="15">
      <c r="A695" s="714" t="s">
        <v>83</v>
      </c>
      <c r="B695" s="714"/>
      <c r="C695" s="714"/>
      <c r="D695" s="714"/>
      <c r="E695" s="714"/>
      <c r="F695" s="714"/>
    </row>
    <row r="696" spans="1:6" ht="30">
      <c r="A696" s="44" t="s">
        <v>84</v>
      </c>
      <c r="B696" s="76" t="s">
        <v>430</v>
      </c>
      <c r="C696" s="44" t="s">
        <v>26</v>
      </c>
      <c r="D696" s="64">
        <v>5</v>
      </c>
      <c r="E696" s="46">
        <v>4.88</v>
      </c>
      <c r="F696" s="46">
        <f>D696*E696</f>
        <v>24.4</v>
      </c>
    </row>
    <row r="697" spans="1:6" ht="45">
      <c r="A697" s="44">
        <v>337</v>
      </c>
      <c r="B697" s="76" t="s">
        <v>287</v>
      </c>
      <c r="C697" s="44" t="s">
        <v>7</v>
      </c>
      <c r="D697" s="64">
        <v>0.03</v>
      </c>
      <c r="E697" s="46">
        <f>E683</f>
        <v>336.67</v>
      </c>
      <c r="F697" s="46">
        <f aca="true" t="shared" si="11" ref="F697">D697*E697</f>
        <v>10.1001</v>
      </c>
    </row>
    <row r="698" spans="1:6" ht="15">
      <c r="A698" s="714" t="s">
        <v>103</v>
      </c>
      <c r="B698" s="714"/>
      <c r="C698" s="714"/>
      <c r="D698" s="714"/>
      <c r="E698" s="714"/>
      <c r="F698" s="714"/>
    </row>
    <row r="699" spans="1:6" ht="15">
      <c r="A699" s="58">
        <v>88316</v>
      </c>
      <c r="B699" s="76" t="s">
        <v>224</v>
      </c>
      <c r="C699" s="44" t="s">
        <v>88</v>
      </c>
      <c r="D699" s="64">
        <v>0.4</v>
      </c>
      <c r="E699" s="46">
        <v>16.44</v>
      </c>
      <c r="F699" s="46">
        <f>D699*E699</f>
        <v>6.5760000000000005</v>
      </c>
    </row>
    <row r="700" spans="1:6" ht="15">
      <c r="A700" s="719"/>
      <c r="B700" s="719"/>
      <c r="C700" s="719"/>
      <c r="D700" s="719"/>
      <c r="E700" s="719"/>
      <c r="F700" s="719"/>
    </row>
    <row r="701" spans="1:6" ht="15">
      <c r="A701" s="716" t="str">
        <f>"BDI ("&amp;$H$2&amp;"%)"</f>
        <v>BDI (%)</v>
      </c>
      <c r="B701" s="716"/>
      <c r="C701" s="44" t="s">
        <v>80</v>
      </c>
      <c r="D701" s="45">
        <f>$H$2</f>
        <v>0</v>
      </c>
      <c r="E701" s="46">
        <f>SUM(F696:F697,F699)</f>
        <v>41.0761</v>
      </c>
      <c r="F701" s="46">
        <f>D701*E701/100</f>
        <v>0</v>
      </c>
    </row>
    <row r="702" spans="1:6" ht="15.75">
      <c r="A702" s="704" t="s">
        <v>81</v>
      </c>
      <c r="B702" s="704"/>
      <c r="C702" s="48"/>
      <c r="D702" s="92"/>
      <c r="E702" s="50"/>
      <c r="F702" s="50">
        <f>E701+F701</f>
        <v>41.0761</v>
      </c>
    </row>
    <row r="703" spans="1:6" ht="15.75">
      <c r="A703" s="68"/>
      <c r="B703" s="68"/>
      <c r="C703" s="48"/>
      <c r="D703" s="92"/>
      <c r="E703" s="50"/>
      <c r="F703" s="50"/>
    </row>
    <row r="704" spans="1:6" ht="15.75">
      <c r="A704" s="83" t="s">
        <v>164</v>
      </c>
      <c r="B704" s="717" t="s">
        <v>165</v>
      </c>
      <c r="C704" s="717"/>
      <c r="D704" s="717"/>
      <c r="E704" s="717"/>
      <c r="F704" s="717"/>
    </row>
    <row r="705" spans="1:6" ht="30">
      <c r="A705" s="93" t="s">
        <v>99</v>
      </c>
      <c r="B705" s="75" t="s">
        <v>72</v>
      </c>
      <c r="C705" s="75" t="s">
        <v>73</v>
      </c>
      <c r="D705" s="85" t="s">
        <v>74</v>
      </c>
      <c r="E705" s="86" t="s">
        <v>75</v>
      </c>
      <c r="F705" s="86" t="s">
        <v>76</v>
      </c>
    </row>
    <row r="706" spans="1:6" ht="15">
      <c r="A706" s="714" t="s">
        <v>83</v>
      </c>
      <c r="B706" s="714"/>
      <c r="C706" s="714"/>
      <c r="D706" s="714"/>
      <c r="E706" s="714"/>
      <c r="F706" s="714"/>
    </row>
    <row r="707" spans="1:6" ht="15">
      <c r="A707" s="58">
        <v>370</v>
      </c>
      <c r="B707" s="76" t="s">
        <v>100</v>
      </c>
      <c r="C707" s="44" t="s">
        <v>7</v>
      </c>
      <c r="D707" s="64">
        <v>1.29</v>
      </c>
      <c r="E707" s="46">
        <v>26</v>
      </c>
      <c r="F707" s="46">
        <f>D707*E707</f>
        <v>33.54</v>
      </c>
    </row>
    <row r="708" spans="1:6" ht="15">
      <c r="A708" s="44">
        <v>1379</v>
      </c>
      <c r="B708" s="76" t="s">
        <v>90</v>
      </c>
      <c r="C708" s="44" t="s">
        <v>54</v>
      </c>
      <c r="D708" s="64">
        <v>185.63</v>
      </c>
      <c r="E708" s="46">
        <v>0.56</v>
      </c>
      <c r="F708" s="46">
        <f>ROUNDUP((D708*E708),2)</f>
        <v>103.96000000000001</v>
      </c>
    </row>
    <row r="709" spans="1:6" ht="15">
      <c r="A709" s="58">
        <v>1106</v>
      </c>
      <c r="B709" s="76" t="s">
        <v>166</v>
      </c>
      <c r="C709" s="44" t="s">
        <v>54</v>
      </c>
      <c r="D709" s="64">
        <v>193.7</v>
      </c>
      <c r="E709" s="46">
        <v>0.5</v>
      </c>
      <c r="F709" s="46">
        <f>ROUNDUP((D709*E709),2)</f>
        <v>96.85</v>
      </c>
    </row>
    <row r="710" spans="1:6" ht="15">
      <c r="A710" s="714" t="s">
        <v>102</v>
      </c>
      <c r="B710" s="714"/>
      <c r="C710" s="714"/>
      <c r="D710" s="714"/>
      <c r="E710" s="714"/>
      <c r="F710" s="714"/>
    </row>
    <row r="711" spans="1:6" ht="45">
      <c r="A711" s="44">
        <v>88830</v>
      </c>
      <c r="B711" s="76" t="s">
        <v>167</v>
      </c>
      <c r="C711" s="44" t="s">
        <v>168</v>
      </c>
      <c r="D711" s="64">
        <v>1.11</v>
      </c>
      <c r="E711" s="46">
        <v>1.02</v>
      </c>
      <c r="F711" s="46">
        <f>ROUNDUP((D711*E711),2)</f>
        <v>1.14</v>
      </c>
    </row>
    <row r="712" spans="1:6" ht="45">
      <c r="A712" s="44">
        <v>88831</v>
      </c>
      <c r="B712" s="76" t="s">
        <v>169</v>
      </c>
      <c r="C712" s="44" t="s">
        <v>170</v>
      </c>
      <c r="D712" s="64">
        <v>3.64</v>
      </c>
      <c r="E712" s="46">
        <v>0.26</v>
      </c>
      <c r="F712" s="46">
        <f>ROUNDUP((D712*E712),2)</f>
        <v>0.95</v>
      </c>
    </row>
    <row r="713" spans="1:6" ht="15">
      <c r="A713" s="714" t="s">
        <v>103</v>
      </c>
      <c r="B713" s="714"/>
      <c r="C713" s="714"/>
      <c r="D713" s="714"/>
      <c r="E713" s="714"/>
      <c r="F713" s="714"/>
    </row>
    <row r="714" spans="1:6" ht="30">
      <c r="A714" s="44">
        <v>88377</v>
      </c>
      <c r="B714" s="76" t="s">
        <v>171</v>
      </c>
      <c r="C714" s="89" t="s">
        <v>88</v>
      </c>
      <c r="D714" s="198">
        <v>4.75</v>
      </c>
      <c r="E714" s="91">
        <v>9.94</v>
      </c>
      <c r="F714" s="46">
        <f>D714*E714</f>
        <v>47.214999999999996</v>
      </c>
    </row>
    <row r="715" spans="1:6" ht="15">
      <c r="A715" s="715"/>
      <c r="B715" s="715"/>
      <c r="C715" s="715"/>
      <c r="D715" s="715"/>
      <c r="E715" s="715"/>
      <c r="F715" s="715"/>
    </row>
    <row r="716" spans="1:6" ht="15.75">
      <c r="A716" s="704" t="s">
        <v>81</v>
      </c>
      <c r="B716" s="704"/>
      <c r="C716" s="48"/>
      <c r="D716" s="92"/>
      <c r="E716" s="50"/>
      <c r="F716" s="50">
        <f>SUM(F707:F709,F711:F712,F714:F714)</f>
        <v>283.655</v>
      </c>
    </row>
    <row r="717" spans="1:6" ht="15.75">
      <c r="A717" s="243"/>
      <c r="B717" s="243"/>
      <c r="C717" s="28"/>
      <c r="D717" s="28"/>
      <c r="E717" s="28"/>
      <c r="F717" s="28"/>
    </row>
    <row r="718" spans="1:6" ht="15.75">
      <c r="A718" s="83" t="s">
        <v>290</v>
      </c>
      <c r="B718" s="717" t="s">
        <v>291</v>
      </c>
      <c r="C718" s="717"/>
      <c r="D718" s="717"/>
      <c r="E718" s="717"/>
      <c r="F718" s="717"/>
    </row>
    <row r="719" spans="1:6" ht="30">
      <c r="A719" s="93" t="s">
        <v>99</v>
      </c>
      <c r="B719" s="75" t="s">
        <v>72</v>
      </c>
      <c r="C719" s="75" t="s">
        <v>73</v>
      </c>
      <c r="D719" s="85" t="s">
        <v>74</v>
      </c>
      <c r="E719" s="86" t="s">
        <v>75</v>
      </c>
      <c r="F719" s="86" t="s">
        <v>76</v>
      </c>
    </row>
    <row r="720" spans="1:6" ht="15">
      <c r="A720" s="714" t="s">
        <v>83</v>
      </c>
      <c r="B720" s="714"/>
      <c r="C720" s="714"/>
      <c r="D720" s="714"/>
      <c r="E720" s="714"/>
      <c r="F720" s="714"/>
    </row>
    <row r="721" spans="1:6" ht="90">
      <c r="A721" s="44">
        <v>87335</v>
      </c>
      <c r="B721" s="76" t="s">
        <v>292</v>
      </c>
      <c r="C721" s="44" t="s">
        <v>7</v>
      </c>
      <c r="D721" s="64">
        <v>0.00243</v>
      </c>
      <c r="E721" s="46">
        <f>F716</f>
        <v>283.655</v>
      </c>
      <c r="F721" s="46">
        <f>D721*E721</f>
        <v>0.6892816499999999</v>
      </c>
    </row>
    <row r="722" spans="1:6" ht="15">
      <c r="A722" s="44"/>
      <c r="B722" s="76"/>
      <c r="C722" s="44"/>
      <c r="D722" s="64"/>
      <c r="E722" s="46"/>
      <c r="F722" s="46"/>
    </row>
    <row r="723" spans="1:6" ht="15">
      <c r="A723" s="714" t="s">
        <v>103</v>
      </c>
      <c r="B723" s="714"/>
      <c r="C723" s="714"/>
      <c r="D723" s="714"/>
      <c r="E723" s="714"/>
      <c r="F723" s="714"/>
    </row>
    <row r="724" spans="1:6" ht="15">
      <c r="A724" s="58">
        <v>88316</v>
      </c>
      <c r="B724" s="76" t="s">
        <v>224</v>
      </c>
      <c r="C724" s="44" t="s">
        <v>88</v>
      </c>
      <c r="D724" s="64">
        <v>0.3</v>
      </c>
      <c r="E724" s="46">
        <v>12.51</v>
      </c>
      <c r="F724" s="46">
        <f>D724*E724</f>
        <v>3.7529999999999997</v>
      </c>
    </row>
    <row r="725" spans="1:6" ht="15">
      <c r="A725" s="241">
        <v>88316</v>
      </c>
      <c r="B725" s="76" t="s">
        <v>293</v>
      </c>
      <c r="C725" s="44" t="s">
        <v>88</v>
      </c>
      <c r="D725" s="64">
        <v>0.29742</v>
      </c>
      <c r="E725" s="46">
        <v>9.68</v>
      </c>
      <c r="F725" s="46">
        <f>D725*E725</f>
        <v>2.8790256000000003</v>
      </c>
    </row>
    <row r="726" spans="1:6" ht="15">
      <c r="A726" s="719"/>
      <c r="B726" s="719"/>
      <c r="C726" s="719"/>
      <c r="D726" s="719"/>
      <c r="E726" s="719"/>
      <c r="F726" s="719"/>
    </row>
    <row r="727" spans="1:6" ht="15">
      <c r="A727" s="716" t="str">
        <f>"BDI ("&amp;$H$2&amp;"%)"</f>
        <v>BDI (%)</v>
      </c>
      <c r="B727" s="716"/>
      <c r="C727" s="44" t="s">
        <v>80</v>
      </c>
      <c r="D727" s="45">
        <f>$H$2</f>
        <v>0</v>
      </c>
      <c r="E727" s="46">
        <f>SUM(F721,F724:F725)</f>
        <v>7.32130725</v>
      </c>
      <c r="F727" s="46">
        <f>D727*E727/100</f>
        <v>0</v>
      </c>
    </row>
    <row r="728" spans="1:6" ht="15.75">
      <c r="A728" s="704" t="s">
        <v>81</v>
      </c>
      <c r="B728" s="704"/>
      <c r="C728" s="48"/>
      <c r="D728" s="92"/>
      <c r="E728" s="50"/>
      <c r="F728" s="50">
        <f>E727+F727</f>
        <v>7.32130725</v>
      </c>
    </row>
    <row r="729" spans="1:6" ht="15.75">
      <c r="A729" s="243"/>
      <c r="B729" s="243"/>
      <c r="C729" s="28"/>
      <c r="D729" s="28"/>
      <c r="E729" s="28"/>
      <c r="F729" s="28"/>
    </row>
    <row r="730" spans="1:6" ht="15.75">
      <c r="A730" s="83" t="s">
        <v>107</v>
      </c>
      <c r="B730" s="717" t="s">
        <v>431</v>
      </c>
      <c r="C730" s="717"/>
      <c r="D730" s="717"/>
      <c r="E730" s="717"/>
      <c r="F730" s="717"/>
    </row>
    <row r="731" spans="1:6" ht="30">
      <c r="A731" s="93" t="s">
        <v>99</v>
      </c>
      <c r="B731" s="75" t="s">
        <v>72</v>
      </c>
      <c r="C731" s="75" t="s">
        <v>73</v>
      </c>
      <c r="D731" s="85" t="s">
        <v>74</v>
      </c>
      <c r="E731" s="86" t="s">
        <v>75</v>
      </c>
      <c r="F731" s="86" t="s">
        <v>76</v>
      </c>
    </row>
    <row r="732" spans="1:6" ht="15">
      <c r="A732" s="714" t="s">
        <v>83</v>
      </c>
      <c r="B732" s="714"/>
      <c r="C732" s="714"/>
      <c r="D732" s="714"/>
      <c r="E732" s="714"/>
      <c r="F732" s="714"/>
    </row>
    <row r="733" spans="1:6" ht="30">
      <c r="A733" s="44">
        <v>10966</v>
      </c>
      <c r="B733" s="76" t="s">
        <v>294</v>
      </c>
      <c r="C733" s="44" t="s">
        <v>54</v>
      </c>
      <c r="D733" s="64">
        <v>1.1</v>
      </c>
      <c r="E733" s="46">
        <v>4.37</v>
      </c>
      <c r="F733" s="46">
        <f>D733*E733</f>
        <v>4.807</v>
      </c>
    </row>
    <row r="734" spans="1:6" ht="15">
      <c r="A734" s="714" t="s">
        <v>103</v>
      </c>
      <c r="B734" s="714"/>
      <c r="C734" s="714"/>
      <c r="D734" s="714"/>
      <c r="E734" s="714"/>
      <c r="F734" s="714"/>
    </row>
    <row r="735" spans="1:6" ht="15">
      <c r="A735" s="241">
        <v>88276</v>
      </c>
      <c r="B735" s="76" t="s">
        <v>295</v>
      </c>
      <c r="C735" s="44" t="s">
        <v>88</v>
      </c>
      <c r="D735" s="64">
        <v>0.075</v>
      </c>
      <c r="E735" s="46">
        <v>16.44</v>
      </c>
      <c r="F735" s="46">
        <f>D735*E735</f>
        <v>1.233</v>
      </c>
    </row>
    <row r="736" spans="1:6" ht="15">
      <c r="A736" s="241">
        <v>88316</v>
      </c>
      <c r="B736" s="76" t="s">
        <v>95</v>
      </c>
      <c r="C736" s="44" t="s">
        <v>88</v>
      </c>
      <c r="D736" s="64">
        <v>0.075</v>
      </c>
      <c r="E736" s="46">
        <v>13.03</v>
      </c>
      <c r="F736" s="46">
        <f>D736*E736</f>
        <v>0.97725</v>
      </c>
    </row>
    <row r="737" spans="1:6" ht="15">
      <c r="A737" s="719"/>
      <c r="B737" s="719"/>
      <c r="C737" s="719"/>
      <c r="D737" s="719"/>
      <c r="E737" s="719"/>
      <c r="F737" s="719"/>
    </row>
    <row r="738" spans="1:6" ht="15">
      <c r="A738" s="716" t="str">
        <f>"BDI ("&amp;$H$2&amp;"%)"</f>
        <v>BDI (%)</v>
      </c>
      <c r="B738" s="716"/>
      <c r="C738" s="44" t="s">
        <v>80</v>
      </c>
      <c r="D738" s="45">
        <f>$H$2</f>
        <v>0</v>
      </c>
      <c r="E738" s="46">
        <f>SUM(F733:F733,F735:F736)</f>
        <v>7.017250000000001</v>
      </c>
      <c r="F738" s="46">
        <f>D738*E738/100</f>
        <v>0</v>
      </c>
    </row>
    <row r="739" spans="1:6" ht="15.75">
      <c r="A739" s="704" t="s">
        <v>81</v>
      </c>
      <c r="B739" s="704"/>
      <c r="C739" s="48"/>
      <c r="D739" s="92"/>
      <c r="E739" s="50"/>
      <c r="F739" s="50">
        <f>E738+F738</f>
        <v>7.017250000000001</v>
      </c>
    </row>
    <row r="740" spans="1:6" ht="15">
      <c r="A740" s="93"/>
      <c r="B740" s="244"/>
      <c r="C740" s="244"/>
      <c r="D740" s="93"/>
      <c r="E740" s="244"/>
      <c r="F740" s="244"/>
    </row>
    <row r="741" spans="1:6" ht="15.75">
      <c r="A741" s="83" t="s">
        <v>69</v>
      </c>
      <c r="B741" s="717" t="s">
        <v>296</v>
      </c>
      <c r="C741" s="717"/>
      <c r="D741" s="717"/>
      <c r="E741" s="717"/>
      <c r="F741" s="717"/>
    </row>
    <row r="742" spans="1:6" ht="30">
      <c r="A742" s="58" t="s">
        <v>99</v>
      </c>
      <c r="B742" s="75" t="s">
        <v>72</v>
      </c>
      <c r="C742" s="75" t="s">
        <v>73</v>
      </c>
      <c r="D742" s="85" t="s">
        <v>74</v>
      </c>
      <c r="E742" s="86" t="s">
        <v>75</v>
      </c>
      <c r="F742" s="86" t="s">
        <v>76</v>
      </c>
    </row>
    <row r="743" spans="1:6" ht="15">
      <c r="A743" s="714" t="s">
        <v>83</v>
      </c>
      <c r="B743" s="714"/>
      <c r="C743" s="714"/>
      <c r="D743" s="714"/>
      <c r="E743" s="714"/>
      <c r="F743" s="714"/>
    </row>
    <row r="744" spans="1:6" ht="30">
      <c r="A744" s="44">
        <v>25007</v>
      </c>
      <c r="B744" s="76" t="s">
        <v>297</v>
      </c>
      <c r="C744" s="44" t="s">
        <v>4</v>
      </c>
      <c r="D744" s="64">
        <v>1.15</v>
      </c>
      <c r="E744" s="46">
        <v>22.39</v>
      </c>
      <c r="F744" s="46">
        <f>D744*E744</f>
        <v>25.7485</v>
      </c>
    </row>
    <row r="745" spans="1:6" ht="15">
      <c r="A745" s="714" t="s">
        <v>103</v>
      </c>
      <c r="B745" s="714"/>
      <c r="C745" s="714"/>
      <c r="D745" s="714"/>
      <c r="E745" s="714"/>
      <c r="F745" s="714"/>
    </row>
    <row r="746" spans="1:6" ht="15">
      <c r="A746" s="241">
        <v>88262</v>
      </c>
      <c r="B746" s="76" t="s">
        <v>93</v>
      </c>
      <c r="C746" s="44" t="s">
        <v>88</v>
      </c>
      <c r="D746" s="64">
        <v>0.4</v>
      </c>
      <c r="E746" s="46">
        <v>12.51</v>
      </c>
      <c r="F746" s="46">
        <f>D746*E746</f>
        <v>5.0040000000000004</v>
      </c>
    </row>
    <row r="747" spans="1:6" ht="15">
      <c r="A747" s="241">
        <v>88316</v>
      </c>
      <c r="B747" s="76" t="s">
        <v>95</v>
      </c>
      <c r="C747" s="44" t="s">
        <v>88</v>
      </c>
      <c r="D747" s="64">
        <v>0.4</v>
      </c>
      <c r="E747" s="46">
        <v>9.68</v>
      </c>
      <c r="F747" s="46">
        <f>D747*E747</f>
        <v>3.872</v>
      </c>
    </row>
    <row r="748" spans="1:6" ht="15">
      <c r="A748" s="719"/>
      <c r="B748" s="719"/>
      <c r="C748" s="719"/>
      <c r="D748" s="719"/>
      <c r="E748" s="719"/>
      <c r="F748" s="719"/>
    </row>
    <row r="749" spans="1:6" ht="15">
      <c r="A749" s="716" t="str">
        <f>"BDI ("&amp;$H$2&amp;"%)"</f>
        <v>BDI (%)</v>
      </c>
      <c r="B749" s="716"/>
      <c r="C749" s="44" t="s">
        <v>80</v>
      </c>
      <c r="D749" s="45">
        <f>$H$2</f>
        <v>0</v>
      </c>
      <c r="E749" s="46">
        <f>SUM(F744,F746:F747)</f>
        <v>34.6245</v>
      </c>
      <c r="F749" s="46">
        <f>D749*E749/100</f>
        <v>0</v>
      </c>
    </row>
    <row r="750" spans="1:6" ht="15.75">
      <c r="A750" s="704" t="s">
        <v>81</v>
      </c>
      <c r="B750" s="704"/>
      <c r="C750" s="48"/>
      <c r="D750" s="92"/>
      <c r="E750" s="50"/>
      <c r="F750" s="50">
        <f>E749+F749</f>
        <v>34.6245</v>
      </c>
    </row>
    <row r="751" spans="1:6" ht="15">
      <c r="A751" s="93"/>
      <c r="B751" s="244"/>
      <c r="C751" s="244"/>
      <c r="D751" s="93"/>
      <c r="E751" s="244"/>
      <c r="F751" s="244"/>
    </row>
    <row r="752" spans="1:6" ht="15.75">
      <c r="A752" s="83" t="s">
        <v>69</v>
      </c>
      <c r="B752" s="717" t="s">
        <v>298</v>
      </c>
      <c r="C752" s="717"/>
      <c r="D752" s="717"/>
      <c r="E752" s="717"/>
      <c r="F752" s="717"/>
    </row>
    <row r="753" spans="1:6" ht="30">
      <c r="A753" s="58" t="s">
        <v>99</v>
      </c>
      <c r="B753" s="75" t="s">
        <v>72</v>
      </c>
      <c r="C753" s="75" t="s">
        <v>73</v>
      </c>
      <c r="D753" s="85" t="s">
        <v>74</v>
      </c>
      <c r="E753" s="86" t="s">
        <v>75</v>
      </c>
      <c r="F753" s="86" t="s">
        <v>76</v>
      </c>
    </row>
    <row r="754" spans="1:6" ht="15">
      <c r="A754" s="714" t="s">
        <v>83</v>
      </c>
      <c r="B754" s="714"/>
      <c r="C754" s="714"/>
      <c r="D754" s="714"/>
      <c r="E754" s="714"/>
      <c r="F754" s="714"/>
    </row>
    <row r="755" spans="1:6" ht="15">
      <c r="A755" s="44" t="s">
        <v>84</v>
      </c>
      <c r="B755" s="76" t="s">
        <v>299</v>
      </c>
      <c r="C755" s="44" t="s">
        <v>26</v>
      </c>
      <c r="D755" s="64">
        <v>1</v>
      </c>
      <c r="E755" s="46">
        <v>75</v>
      </c>
      <c r="F755" s="46">
        <f>D755*E755</f>
        <v>75</v>
      </c>
    </row>
    <row r="756" spans="1:6" ht="15">
      <c r="A756" s="714" t="s">
        <v>103</v>
      </c>
      <c r="B756" s="714"/>
      <c r="C756" s="714"/>
      <c r="D756" s="714"/>
      <c r="E756" s="714"/>
      <c r="F756" s="714"/>
    </row>
    <row r="757" spans="1:6" ht="15">
      <c r="A757" s="241">
        <v>88276</v>
      </c>
      <c r="B757" s="76" t="s">
        <v>295</v>
      </c>
      <c r="C757" s="44" t="s">
        <v>88</v>
      </c>
      <c r="D757" s="64">
        <v>0.05</v>
      </c>
      <c r="E757" s="46">
        <v>15.6</v>
      </c>
      <c r="F757" s="46">
        <f>D757*E757</f>
        <v>0.78</v>
      </c>
    </row>
    <row r="758" spans="1:6" ht="15">
      <c r="A758" s="241">
        <v>88316</v>
      </c>
      <c r="B758" s="76" t="s">
        <v>95</v>
      </c>
      <c r="C758" s="44" t="s">
        <v>88</v>
      </c>
      <c r="D758" s="64">
        <v>0.05</v>
      </c>
      <c r="E758" s="46">
        <v>9.68</v>
      </c>
      <c r="F758" s="46">
        <f>D758*E758</f>
        <v>0.484</v>
      </c>
    </row>
    <row r="759" spans="1:6" ht="15">
      <c r="A759" s="719"/>
      <c r="B759" s="719"/>
      <c r="C759" s="719"/>
      <c r="D759" s="719"/>
      <c r="E759" s="719"/>
      <c r="F759" s="719"/>
    </row>
    <row r="760" spans="1:6" ht="15">
      <c r="A760" s="716" t="str">
        <f>"BDI ("&amp;$H$2&amp;"%)"</f>
        <v>BDI (%)</v>
      </c>
      <c r="B760" s="716"/>
      <c r="C760" s="44" t="s">
        <v>80</v>
      </c>
      <c r="D760" s="45">
        <f>$H$2</f>
        <v>0</v>
      </c>
      <c r="E760" s="46">
        <f>SUM(F755:F755,F757:F758)</f>
        <v>76.264</v>
      </c>
      <c r="F760" s="46">
        <f>D760*E760/100</f>
        <v>0</v>
      </c>
    </row>
    <row r="761" spans="1:6" ht="15.75">
      <c r="A761" s="704" t="s">
        <v>81</v>
      </c>
      <c r="B761" s="704"/>
      <c r="C761" s="48"/>
      <c r="D761" s="92"/>
      <c r="E761" s="50"/>
      <c r="F761" s="50">
        <f>E760+F760</f>
        <v>76.264</v>
      </c>
    </row>
    <row r="762" spans="1:6" ht="15.75">
      <c r="A762" s="68"/>
      <c r="B762" s="68"/>
      <c r="C762" s="48"/>
      <c r="D762" s="92"/>
      <c r="E762" s="50"/>
      <c r="F762" s="50"/>
    </row>
    <row r="763" spans="1:6" ht="15.75">
      <c r="A763" s="83" t="s">
        <v>300</v>
      </c>
      <c r="B763" s="717" t="s">
        <v>301</v>
      </c>
      <c r="C763" s="717"/>
      <c r="D763" s="717"/>
      <c r="E763" s="717"/>
      <c r="F763" s="717"/>
    </row>
    <row r="764" spans="1:6" ht="30">
      <c r="A764" s="58" t="s">
        <v>99</v>
      </c>
      <c r="B764" s="75" t="s">
        <v>72</v>
      </c>
      <c r="C764" s="75" t="s">
        <v>73</v>
      </c>
      <c r="D764" s="85" t="s">
        <v>74</v>
      </c>
      <c r="E764" s="86" t="s">
        <v>75</v>
      </c>
      <c r="F764" s="86" t="s">
        <v>76</v>
      </c>
    </row>
    <row r="765" spans="1:6" ht="15">
      <c r="A765" s="714" t="s">
        <v>83</v>
      </c>
      <c r="B765" s="714"/>
      <c r="C765" s="714"/>
      <c r="D765" s="714"/>
      <c r="E765" s="714"/>
      <c r="F765" s="714"/>
    </row>
    <row r="766" spans="1:6" ht="30">
      <c r="A766" s="44">
        <v>7241</v>
      </c>
      <c r="B766" s="76" t="s">
        <v>302</v>
      </c>
      <c r="C766" s="44" t="s">
        <v>26</v>
      </c>
      <c r="D766" s="64">
        <v>0.825</v>
      </c>
      <c r="E766" s="46">
        <v>37.56</v>
      </c>
      <c r="F766" s="46">
        <f>D766*E766</f>
        <v>30.987000000000002</v>
      </c>
    </row>
    <row r="767" spans="1:6" ht="15">
      <c r="A767" s="714" t="s">
        <v>103</v>
      </c>
      <c r="B767" s="714"/>
      <c r="C767" s="714"/>
      <c r="D767" s="714"/>
      <c r="E767" s="714"/>
      <c r="F767" s="714"/>
    </row>
    <row r="768" spans="1:6" ht="15">
      <c r="A768" s="241">
        <v>88323</v>
      </c>
      <c r="B768" s="76" t="s">
        <v>289</v>
      </c>
      <c r="C768" s="44" t="s">
        <v>88</v>
      </c>
      <c r="D768" s="64">
        <v>0.12</v>
      </c>
      <c r="E768" s="46">
        <v>11.21</v>
      </c>
      <c r="F768" s="46">
        <f>D768*E768</f>
        <v>1.3452</v>
      </c>
    </row>
    <row r="769" spans="1:6" ht="15">
      <c r="A769" s="241">
        <v>88316</v>
      </c>
      <c r="B769" s="76" t="s">
        <v>106</v>
      </c>
      <c r="C769" s="44" t="s">
        <v>88</v>
      </c>
      <c r="D769" s="64">
        <v>0.12</v>
      </c>
      <c r="E769" s="46">
        <v>9.68</v>
      </c>
      <c r="F769" s="46">
        <f>D769*E769</f>
        <v>1.1616</v>
      </c>
    </row>
    <row r="770" spans="1:6" ht="15">
      <c r="A770" s="719"/>
      <c r="B770" s="719"/>
      <c r="C770" s="719"/>
      <c r="D770" s="719"/>
      <c r="E770" s="719"/>
      <c r="F770" s="719"/>
    </row>
    <row r="771" spans="1:6" ht="15">
      <c r="A771" s="716" t="str">
        <f>"BDI ("&amp;$H$2&amp;"%)"</f>
        <v>BDI (%)</v>
      </c>
      <c r="B771" s="716"/>
      <c r="C771" s="44" t="s">
        <v>80</v>
      </c>
      <c r="D771" s="45">
        <f>$H$2</f>
        <v>0</v>
      </c>
      <c r="E771" s="46">
        <f>SUM(F766:F766,F768:F769)</f>
        <v>33.4938</v>
      </c>
      <c r="F771" s="46">
        <f>D771*E771/100</f>
        <v>0</v>
      </c>
    </row>
    <row r="772" spans="1:6" ht="15.75">
      <c r="A772" s="704" t="s">
        <v>81</v>
      </c>
      <c r="B772" s="704"/>
      <c r="C772" s="48"/>
      <c r="D772" s="92"/>
      <c r="E772" s="50"/>
      <c r="F772" s="50">
        <f>E771+F771</f>
        <v>33.4938</v>
      </c>
    </row>
    <row r="773" spans="1:6" ht="15.75">
      <c r="A773" s="68"/>
      <c r="B773" s="68"/>
      <c r="C773" s="48"/>
      <c r="D773" s="92"/>
      <c r="E773" s="50"/>
      <c r="F773" s="50"/>
    </row>
    <row r="774" spans="1:6" ht="15.75">
      <c r="A774" s="68"/>
      <c r="B774" s="68"/>
      <c r="C774" s="48"/>
      <c r="D774" s="92"/>
      <c r="E774" s="50"/>
      <c r="F774" s="50"/>
    </row>
    <row r="775" spans="1:6" ht="15.75">
      <c r="A775" s="68"/>
      <c r="B775" s="68"/>
      <c r="C775" s="48"/>
      <c r="D775" s="92"/>
      <c r="E775" s="50"/>
      <c r="F775" s="50"/>
    </row>
    <row r="776" spans="1:6" ht="15.75">
      <c r="A776" s="68"/>
      <c r="B776" s="68"/>
      <c r="C776" s="48"/>
      <c r="D776" s="92"/>
      <c r="E776" s="50"/>
      <c r="F776" s="50"/>
    </row>
    <row r="777" spans="1:6" ht="15.75">
      <c r="A777" s="68"/>
      <c r="B777" s="68"/>
      <c r="C777" s="48"/>
      <c r="D777" s="92"/>
      <c r="E777" s="50"/>
      <c r="F777" s="50"/>
    </row>
    <row r="778" spans="1:6" ht="15.75">
      <c r="A778" s="68"/>
      <c r="B778" s="68"/>
      <c r="C778" s="48"/>
      <c r="D778" s="92"/>
      <c r="E778" s="50"/>
      <c r="F778" s="50"/>
    </row>
    <row r="779" spans="1:6" ht="15.75">
      <c r="A779" s="68"/>
      <c r="B779" s="68"/>
      <c r="C779" s="48"/>
      <c r="D779" s="92"/>
      <c r="E779" s="50"/>
      <c r="F779" s="50"/>
    </row>
    <row r="780" spans="1:6" ht="15.75">
      <c r="A780" s="68"/>
      <c r="B780" s="68"/>
      <c r="C780" s="48"/>
      <c r="D780" s="92"/>
      <c r="E780" s="50"/>
      <c r="F780" s="50"/>
    </row>
    <row r="781" spans="1:6" ht="15">
      <c r="A781" s="58"/>
      <c r="B781" s="245"/>
      <c r="C781" s="245"/>
      <c r="D781" s="58"/>
      <c r="E781" s="245"/>
      <c r="F781" s="245"/>
    </row>
    <row r="782" spans="1:6" ht="15.75">
      <c r="A782" s="83" t="s">
        <v>303</v>
      </c>
      <c r="B782" s="717" t="s">
        <v>304</v>
      </c>
      <c r="C782" s="717"/>
      <c r="D782" s="717"/>
      <c r="E782" s="717"/>
      <c r="F782" s="717"/>
    </row>
    <row r="783" spans="1:6" ht="30">
      <c r="A783" s="93" t="s">
        <v>99</v>
      </c>
      <c r="B783" s="75" t="s">
        <v>72</v>
      </c>
      <c r="C783" s="75" t="s">
        <v>73</v>
      </c>
      <c r="D783" s="85" t="s">
        <v>74</v>
      </c>
      <c r="E783" s="86" t="s">
        <v>75</v>
      </c>
      <c r="F783" s="86" t="s">
        <v>76</v>
      </c>
    </row>
    <row r="784" spans="1:6" ht="15">
      <c r="A784" s="714" t="s">
        <v>83</v>
      </c>
      <c r="B784" s="714"/>
      <c r="C784" s="714"/>
      <c r="D784" s="714"/>
      <c r="E784" s="714"/>
      <c r="F784" s="714"/>
    </row>
    <row r="785" spans="1:6" ht="15">
      <c r="A785" s="58">
        <v>367</v>
      </c>
      <c r="B785" s="76" t="s">
        <v>305</v>
      </c>
      <c r="C785" s="44" t="s">
        <v>7</v>
      </c>
      <c r="D785" s="64">
        <v>0.9126</v>
      </c>
      <c r="E785" s="46">
        <v>70</v>
      </c>
      <c r="F785" s="46">
        <f>ROUNDUP((D785*E785),2)</f>
        <v>63.89</v>
      </c>
    </row>
    <row r="786" spans="1:6" ht="15">
      <c r="A786" s="44">
        <v>1379</v>
      </c>
      <c r="B786" s="76" t="s">
        <v>90</v>
      </c>
      <c r="C786" s="44" t="s">
        <v>54</v>
      </c>
      <c r="D786" s="64">
        <v>293</v>
      </c>
      <c r="E786" s="46">
        <v>0.56</v>
      </c>
      <c r="F786" s="46">
        <f>ROUNDUP((D786*E786),2)</f>
        <v>164.08</v>
      </c>
    </row>
    <row r="787" spans="1:6" ht="30">
      <c r="A787" s="58">
        <v>4721</v>
      </c>
      <c r="B787" s="76" t="s">
        <v>112</v>
      </c>
      <c r="C787" s="44" t="s">
        <v>7</v>
      </c>
      <c r="D787" s="64">
        <v>0.209</v>
      </c>
      <c r="E787" s="46">
        <v>80</v>
      </c>
      <c r="F787" s="46">
        <f>ROUNDUP((D787*E787),2)</f>
        <v>16.72</v>
      </c>
    </row>
    <row r="788" spans="1:6" ht="30">
      <c r="A788" s="58">
        <v>4718</v>
      </c>
      <c r="B788" s="76" t="s">
        <v>101</v>
      </c>
      <c r="C788" s="44" t="s">
        <v>7</v>
      </c>
      <c r="D788" s="64">
        <v>0.627</v>
      </c>
      <c r="E788" s="46">
        <v>80</v>
      </c>
      <c r="F788" s="46">
        <f>ROUNDUP((D788*E788),2)</f>
        <v>50.16</v>
      </c>
    </row>
    <row r="789" spans="1:6" ht="15">
      <c r="A789" s="714" t="s">
        <v>102</v>
      </c>
      <c r="B789" s="714"/>
      <c r="C789" s="714"/>
      <c r="D789" s="714"/>
      <c r="E789" s="714"/>
      <c r="F789" s="714"/>
    </row>
    <row r="790" spans="1:6" ht="45">
      <c r="A790" s="44">
        <v>88830</v>
      </c>
      <c r="B790" s="76" t="s">
        <v>167</v>
      </c>
      <c r="C790" s="44" t="s">
        <v>168</v>
      </c>
      <c r="D790" s="64">
        <v>0.714</v>
      </c>
      <c r="E790" s="46">
        <v>1.02</v>
      </c>
      <c r="F790" s="46">
        <f>ROUNDUP((D790*E790),2)</f>
        <v>0.73</v>
      </c>
    </row>
    <row r="791" spans="1:6" ht="15">
      <c r="A791" s="714" t="s">
        <v>103</v>
      </c>
      <c r="B791" s="714"/>
      <c r="C791" s="714"/>
      <c r="D791" s="714"/>
      <c r="E791" s="714"/>
      <c r="F791" s="714"/>
    </row>
    <row r="792" spans="1:6" ht="15">
      <c r="A792" s="44">
        <v>88316</v>
      </c>
      <c r="B792" s="76" t="s">
        <v>95</v>
      </c>
      <c r="C792" s="89" t="s">
        <v>88</v>
      </c>
      <c r="D792" s="90">
        <v>6</v>
      </c>
      <c r="E792" s="91">
        <v>13.03</v>
      </c>
      <c r="F792" s="46">
        <f>ROUNDUP((D792*E792),2)</f>
        <v>78.18</v>
      </c>
    </row>
    <row r="793" spans="1:6" ht="15">
      <c r="A793" s="715"/>
      <c r="B793" s="715"/>
      <c r="C793" s="715"/>
      <c r="D793" s="715"/>
      <c r="E793" s="715"/>
      <c r="F793" s="715"/>
    </row>
    <row r="794" spans="1:6" ht="15.75">
      <c r="A794" s="704" t="s">
        <v>81</v>
      </c>
      <c r="B794" s="704"/>
      <c r="C794" s="48"/>
      <c r="D794" s="92"/>
      <c r="E794" s="50"/>
      <c r="F794" s="50">
        <f>SUM(F785:F788,F790,F792:F792)</f>
        <v>373.76000000000005</v>
      </c>
    </row>
    <row r="795" spans="1:6" ht="15">
      <c r="A795" s="58"/>
      <c r="B795" s="245"/>
      <c r="C795" s="245"/>
      <c r="D795" s="58"/>
      <c r="E795" s="245"/>
      <c r="F795" s="245"/>
    </row>
    <row r="796" spans="1:6" ht="15.75">
      <c r="A796" s="83" t="s">
        <v>107</v>
      </c>
      <c r="B796" s="717" t="s">
        <v>306</v>
      </c>
      <c r="C796" s="717"/>
      <c r="D796" s="717"/>
      <c r="E796" s="717"/>
      <c r="F796" s="717"/>
    </row>
    <row r="797" spans="1:6" ht="30">
      <c r="A797" s="93" t="s">
        <v>99</v>
      </c>
      <c r="B797" s="75" t="s">
        <v>72</v>
      </c>
      <c r="C797" s="75" t="s">
        <v>73</v>
      </c>
      <c r="D797" s="85" t="s">
        <v>74</v>
      </c>
      <c r="E797" s="86" t="s">
        <v>75</v>
      </c>
      <c r="F797" s="86" t="s">
        <v>76</v>
      </c>
    </row>
    <row r="798" spans="1:6" ht="15">
      <c r="A798" s="714" t="s">
        <v>83</v>
      </c>
      <c r="B798" s="714"/>
      <c r="C798" s="714"/>
      <c r="D798" s="714"/>
      <c r="E798" s="714"/>
      <c r="F798" s="714"/>
    </row>
    <row r="799" spans="1:6" ht="15">
      <c r="A799" s="58">
        <v>6045</v>
      </c>
      <c r="B799" s="76" t="s">
        <v>307</v>
      </c>
      <c r="C799" s="44" t="s">
        <v>7</v>
      </c>
      <c r="D799" s="64">
        <f>0.2*0.03</f>
        <v>0.006</v>
      </c>
      <c r="E799" s="46">
        <f>F794</f>
        <v>373.76000000000005</v>
      </c>
      <c r="F799" s="46">
        <f>D799*E799</f>
        <v>2.2425600000000006</v>
      </c>
    </row>
    <row r="800" spans="1:6" ht="15">
      <c r="A800" s="44">
        <v>32</v>
      </c>
      <c r="B800" s="76" t="s">
        <v>308</v>
      </c>
      <c r="C800" s="44" t="s">
        <v>54</v>
      </c>
      <c r="D800" s="64">
        <v>0.48</v>
      </c>
      <c r="E800" s="46">
        <v>3.35</v>
      </c>
      <c r="F800" s="46">
        <f aca="true" t="shared" si="12" ref="F800:F805">D800*E800</f>
        <v>1.6079999999999999</v>
      </c>
    </row>
    <row r="801" spans="1:6" ht="30">
      <c r="A801" s="44">
        <v>1346</v>
      </c>
      <c r="B801" s="76" t="s">
        <v>309</v>
      </c>
      <c r="C801" s="44" t="s">
        <v>4</v>
      </c>
      <c r="D801" s="64">
        <v>0.1925</v>
      </c>
      <c r="E801" s="46">
        <v>23.48</v>
      </c>
      <c r="F801" s="46">
        <f t="shared" si="12"/>
        <v>4.5199</v>
      </c>
    </row>
    <row r="802" spans="1:6" ht="15">
      <c r="A802" s="44">
        <v>333</v>
      </c>
      <c r="B802" s="76" t="s">
        <v>310</v>
      </c>
      <c r="C802" s="44" t="s">
        <v>54</v>
      </c>
      <c r="D802" s="64">
        <v>0.0525</v>
      </c>
      <c r="E802" s="46">
        <v>10.25</v>
      </c>
      <c r="F802" s="46">
        <f t="shared" si="12"/>
        <v>0.538125</v>
      </c>
    </row>
    <row r="803" spans="1:6" ht="30">
      <c r="A803" s="44">
        <v>4506</v>
      </c>
      <c r="B803" s="76" t="s">
        <v>311</v>
      </c>
      <c r="C803" s="44" t="s">
        <v>26</v>
      </c>
      <c r="D803" s="64">
        <v>0.7</v>
      </c>
      <c r="E803" s="46">
        <v>5.16</v>
      </c>
      <c r="F803" s="46">
        <f t="shared" si="12"/>
        <v>3.6119999999999997</v>
      </c>
    </row>
    <row r="804" spans="1:6" ht="30">
      <c r="A804" s="44">
        <v>2692</v>
      </c>
      <c r="B804" s="76" t="s">
        <v>312</v>
      </c>
      <c r="C804" s="44" t="s">
        <v>130</v>
      </c>
      <c r="D804" s="64">
        <v>0.0053</v>
      </c>
      <c r="E804" s="46">
        <v>4.56</v>
      </c>
      <c r="F804" s="46">
        <f t="shared" si="12"/>
        <v>0.024168</v>
      </c>
    </row>
    <row r="805" spans="1:6" ht="15">
      <c r="A805" s="44">
        <v>5075</v>
      </c>
      <c r="B805" s="76" t="s">
        <v>313</v>
      </c>
      <c r="C805" s="44" t="s">
        <v>54</v>
      </c>
      <c r="D805" s="64">
        <v>0.105</v>
      </c>
      <c r="E805" s="46">
        <v>7.13</v>
      </c>
      <c r="F805" s="46">
        <f t="shared" si="12"/>
        <v>0.7486499999999999</v>
      </c>
    </row>
    <row r="806" spans="1:6" ht="15">
      <c r="A806" s="714" t="s">
        <v>103</v>
      </c>
      <c r="B806" s="714"/>
      <c r="C806" s="714"/>
      <c r="D806" s="714"/>
      <c r="E806" s="714"/>
      <c r="F806" s="714"/>
    </row>
    <row r="807" spans="1:6" ht="15">
      <c r="A807" s="58">
        <v>88262</v>
      </c>
      <c r="B807" s="76" t="s">
        <v>93</v>
      </c>
      <c r="C807" s="44" t="s">
        <v>88</v>
      </c>
      <c r="D807" s="64">
        <v>0.1</v>
      </c>
      <c r="E807" s="46">
        <v>16.35</v>
      </c>
      <c r="F807" s="46">
        <f>D807*E807</f>
        <v>1.6350000000000002</v>
      </c>
    </row>
    <row r="808" spans="1:6" ht="15">
      <c r="A808" s="58">
        <v>88309</v>
      </c>
      <c r="B808" s="246" t="s">
        <v>94</v>
      </c>
      <c r="C808" s="35" t="s">
        <v>88</v>
      </c>
      <c r="D808" s="64">
        <v>0.13</v>
      </c>
      <c r="E808" s="46">
        <v>16.44</v>
      </c>
      <c r="F808" s="46">
        <f>D808*E808</f>
        <v>2.1372000000000004</v>
      </c>
    </row>
    <row r="809" spans="1:6" ht="15">
      <c r="A809" s="213">
        <v>88316</v>
      </c>
      <c r="B809" s="76" t="s">
        <v>95</v>
      </c>
      <c r="C809" s="89" t="s">
        <v>88</v>
      </c>
      <c r="D809" s="64">
        <v>0.2</v>
      </c>
      <c r="E809" s="91">
        <v>13.03</v>
      </c>
      <c r="F809" s="46">
        <f>ROUNDUP((D809*E809),2)</f>
        <v>2.61</v>
      </c>
    </row>
    <row r="810" spans="1:6" ht="15">
      <c r="A810" s="715"/>
      <c r="B810" s="715"/>
      <c r="C810" s="715"/>
      <c r="D810" s="715"/>
      <c r="E810" s="715"/>
      <c r="F810" s="715"/>
    </row>
    <row r="811" spans="1:6" ht="15">
      <c r="A811" s="716" t="str">
        <f>"BDI ("&amp;$H$2&amp;"%)"</f>
        <v>BDI (%)</v>
      </c>
      <c r="B811" s="716"/>
      <c r="C811" s="44" t="s">
        <v>80</v>
      </c>
      <c r="D811" s="96">
        <f>$H$2</f>
        <v>0</v>
      </c>
      <c r="E811" s="46">
        <f>SUM(F799:F805,F807:F809)</f>
        <v>19.675603000000002</v>
      </c>
      <c r="F811" s="46">
        <f>D811*E811/100</f>
        <v>0</v>
      </c>
    </row>
    <row r="812" spans="1:6" ht="15.75">
      <c r="A812" s="704" t="s">
        <v>81</v>
      </c>
      <c r="B812" s="704"/>
      <c r="C812" s="48"/>
      <c r="D812" s="92"/>
      <c r="E812" s="50"/>
      <c r="F812" s="50">
        <f>E811+F811</f>
        <v>19.675603000000002</v>
      </c>
    </row>
    <row r="813" spans="1:6" ht="15">
      <c r="A813" s="93"/>
      <c r="B813" s="244"/>
      <c r="C813" s="244"/>
      <c r="D813" s="93"/>
      <c r="E813" s="244"/>
      <c r="F813" s="244"/>
    </row>
    <row r="814" spans="1:6" ht="15.75">
      <c r="A814" s="83" t="s">
        <v>69</v>
      </c>
      <c r="B814" s="717" t="s">
        <v>314</v>
      </c>
      <c r="C814" s="717"/>
      <c r="D814" s="717"/>
      <c r="E814" s="717"/>
      <c r="F814" s="717"/>
    </row>
    <row r="815" spans="1:6" ht="30">
      <c r="A815" s="93" t="s">
        <v>99</v>
      </c>
      <c r="B815" s="75" t="s">
        <v>72</v>
      </c>
      <c r="C815" s="75" t="s">
        <v>73</v>
      </c>
      <c r="D815" s="85" t="s">
        <v>74</v>
      </c>
      <c r="E815" s="86" t="s">
        <v>75</v>
      </c>
      <c r="F815" s="86" t="s">
        <v>76</v>
      </c>
    </row>
    <row r="816" spans="1:6" ht="15">
      <c r="A816" s="714" t="s">
        <v>83</v>
      </c>
      <c r="B816" s="714"/>
      <c r="C816" s="714"/>
      <c r="D816" s="714"/>
      <c r="E816" s="714"/>
      <c r="F816" s="714"/>
    </row>
    <row r="817" spans="1:6" ht="15">
      <c r="A817" s="219" t="s">
        <v>84</v>
      </c>
      <c r="B817" s="247" t="s">
        <v>315</v>
      </c>
      <c r="C817" s="219" t="s">
        <v>26</v>
      </c>
      <c r="D817" s="220">
        <v>1.05</v>
      </c>
      <c r="E817" s="221">
        <v>12.1</v>
      </c>
      <c r="F817" s="221">
        <f>D817*E817</f>
        <v>12.705</v>
      </c>
    </row>
    <row r="818" spans="1:6" ht="15">
      <c r="A818" s="219">
        <v>5061</v>
      </c>
      <c r="B818" s="247" t="s">
        <v>181</v>
      </c>
      <c r="C818" s="219" t="s">
        <v>54</v>
      </c>
      <c r="D818" s="220">
        <v>0.1</v>
      </c>
      <c r="E818" s="221">
        <v>7.67</v>
      </c>
      <c r="F818" s="221">
        <f>D818*E818</f>
        <v>0.767</v>
      </c>
    </row>
    <row r="819" spans="1:6" ht="15">
      <c r="A819" s="718" t="s">
        <v>103</v>
      </c>
      <c r="B819" s="718"/>
      <c r="C819" s="718"/>
      <c r="D819" s="718"/>
      <c r="E819" s="718"/>
      <c r="F819" s="718"/>
    </row>
    <row r="820" spans="1:6" ht="15">
      <c r="A820" s="219">
        <v>88323</v>
      </c>
      <c r="B820" s="247" t="s">
        <v>316</v>
      </c>
      <c r="C820" s="219" t="s">
        <v>88</v>
      </c>
      <c r="D820" s="220">
        <v>0.25</v>
      </c>
      <c r="E820" s="221">
        <v>11.21</v>
      </c>
      <c r="F820" s="221">
        <f>D820*E820</f>
        <v>2.8025</v>
      </c>
    </row>
    <row r="821" spans="1:6" ht="15">
      <c r="A821" s="248">
        <v>88316</v>
      </c>
      <c r="B821" s="247" t="s">
        <v>95</v>
      </c>
      <c r="C821" s="219" t="s">
        <v>88</v>
      </c>
      <c r="D821" s="220">
        <v>0.25</v>
      </c>
      <c r="E821" s="221">
        <v>9.68</v>
      </c>
      <c r="F821" s="221">
        <f>D821*E821</f>
        <v>2.42</v>
      </c>
    </row>
    <row r="822" spans="1:6" ht="15">
      <c r="A822" s="715"/>
      <c r="B822" s="715"/>
      <c r="C822" s="715"/>
      <c r="D822" s="715"/>
      <c r="E822" s="715"/>
      <c r="F822" s="715"/>
    </row>
    <row r="823" spans="1:6" ht="15">
      <c r="A823" s="716" t="str">
        <f>"BDI ("&amp;$H$2&amp;"%)"</f>
        <v>BDI (%)</v>
      </c>
      <c r="B823" s="716"/>
      <c r="C823" s="44" t="s">
        <v>80</v>
      </c>
      <c r="D823" s="45">
        <f>$H$2</f>
        <v>0</v>
      </c>
      <c r="E823" s="46">
        <f>SUM(F817:F818,F820:F821)</f>
        <v>18.694499999999998</v>
      </c>
      <c r="F823" s="46">
        <f>D823*E823/100</f>
        <v>0</v>
      </c>
    </row>
    <row r="824" spans="1:6" ht="15.75">
      <c r="A824" s="704" t="s">
        <v>81</v>
      </c>
      <c r="B824" s="704"/>
      <c r="C824" s="48"/>
      <c r="D824" s="92"/>
      <c r="E824" s="50"/>
      <c r="F824" s="50">
        <f>E823+F823</f>
        <v>18.694499999999998</v>
      </c>
    </row>
    <row r="825" spans="1:6" ht="15">
      <c r="A825" s="63"/>
      <c r="B825" s="63"/>
      <c r="C825" s="63"/>
      <c r="D825" s="249"/>
      <c r="E825" s="63"/>
      <c r="F825" s="63"/>
    </row>
    <row r="826" spans="1:6" ht="15.75">
      <c r="A826" s="83" t="s">
        <v>69</v>
      </c>
      <c r="B826" s="717" t="s">
        <v>317</v>
      </c>
      <c r="C826" s="717"/>
      <c r="D826" s="717"/>
      <c r="E826" s="717"/>
      <c r="F826" s="717"/>
    </row>
    <row r="827" spans="1:6" ht="30">
      <c r="A827" s="93" t="s">
        <v>99</v>
      </c>
      <c r="B827" s="75" t="s">
        <v>72</v>
      </c>
      <c r="C827" s="75" t="s">
        <v>73</v>
      </c>
      <c r="D827" s="85" t="s">
        <v>74</v>
      </c>
      <c r="E827" s="86" t="s">
        <v>75</v>
      </c>
      <c r="F827" s="86" t="s">
        <v>76</v>
      </c>
    </row>
    <row r="828" spans="1:6" ht="15">
      <c r="A828" s="714" t="s">
        <v>83</v>
      </c>
      <c r="B828" s="714"/>
      <c r="C828" s="714"/>
      <c r="D828" s="714"/>
      <c r="E828" s="714"/>
      <c r="F828" s="714"/>
    </row>
    <row r="829" spans="1:6" ht="30">
      <c r="A829" s="219" t="s">
        <v>84</v>
      </c>
      <c r="B829" s="76" t="s">
        <v>318</v>
      </c>
      <c r="C829" s="44" t="s">
        <v>26</v>
      </c>
      <c r="D829" s="64">
        <v>1.05</v>
      </c>
      <c r="E829" s="46">
        <v>2.98</v>
      </c>
      <c r="F829" s="46">
        <f>D829*E829</f>
        <v>3.129</v>
      </c>
    </row>
    <row r="830" spans="1:6" ht="15">
      <c r="A830" s="714" t="s">
        <v>103</v>
      </c>
      <c r="B830" s="714"/>
      <c r="C830" s="714"/>
      <c r="D830" s="714"/>
      <c r="E830" s="714"/>
      <c r="F830" s="714"/>
    </row>
    <row r="831" spans="1:6" ht="15">
      <c r="A831" s="44">
        <v>88323</v>
      </c>
      <c r="B831" s="76" t="s">
        <v>316</v>
      </c>
      <c r="C831" s="44" t="s">
        <v>88</v>
      </c>
      <c r="D831" s="64">
        <v>0.22</v>
      </c>
      <c r="E831" s="221">
        <v>11.21</v>
      </c>
      <c r="F831" s="46">
        <f>D831*E831</f>
        <v>2.4662</v>
      </c>
    </row>
    <row r="832" spans="1:6" ht="15">
      <c r="A832" s="213">
        <v>88316</v>
      </c>
      <c r="B832" s="76" t="s">
        <v>95</v>
      </c>
      <c r="C832" s="44" t="s">
        <v>88</v>
      </c>
      <c r="D832" s="64">
        <v>0.22</v>
      </c>
      <c r="E832" s="221">
        <v>9.68</v>
      </c>
      <c r="F832" s="46">
        <f>D832*E832</f>
        <v>2.1296</v>
      </c>
    </row>
    <row r="833" spans="1:6" ht="15">
      <c r="A833" s="715"/>
      <c r="B833" s="715"/>
      <c r="C833" s="715"/>
      <c r="D833" s="715"/>
      <c r="E833" s="715"/>
      <c r="F833" s="715"/>
    </row>
    <row r="834" spans="1:6" ht="15">
      <c r="A834" s="716" t="str">
        <f>"BDI ("&amp;$H$2&amp;"%)"</f>
        <v>BDI (%)</v>
      </c>
      <c r="B834" s="716"/>
      <c r="C834" s="44" t="s">
        <v>80</v>
      </c>
      <c r="D834" s="45">
        <f>$H$2</f>
        <v>0</v>
      </c>
      <c r="E834" s="46">
        <f>SUM(F829:F829,F831:F832)</f>
        <v>7.7248</v>
      </c>
      <c r="F834" s="46">
        <f>D834*E834/100</f>
        <v>0</v>
      </c>
    </row>
    <row r="835" spans="1:6" ht="15.75">
      <c r="A835" s="704" t="s">
        <v>81</v>
      </c>
      <c r="B835" s="704"/>
      <c r="C835" s="48"/>
      <c r="D835" s="92"/>
      <c r="E835" s="50"/>
      <c r="F835" s="50">
        <f>E834+F834</f>
        <v>7.7248</v>
      </c>
    </row>
    <row r="836" spans="1:6" ht="15">
      <c r="A836" s="63"/>
      <c r="B836" s="63"/>
      <c r="C836" s="63"/>
      <c r="D836" s="249"/>
      <c r="E836" s="63"/>
      <c r="F836" s="63"/>
    </row>
    <row r="837" spans="1:6" ht="15.75">
      <c r="A837" s="83" t="s">
        <v>319</v>
      </c>
      <c r="B837" s="717" t="s">
        <v>320</v>
      </c>
      <c r="C837" s="717"/>
      <c r="D837" s="717"/>
      <c r="E837" s="717"/>
      <c r="F837" s="717"/>
    </row>
    <row r="838" spans="1:6" ht="30">
      <c r="A838" s="93" t="s">
        <v>99</v>
      </c>
      <c r="B838" s="75" t="s">
        <v>72</v>
      </c>
      <c r="C838" s="75" t="s">
        <v>73</v>
      </c>
      <c r="D838" s="85" t="s">
        <v>74</v>
      </c>
      <c r="E838" s="86" t="s">
        <v>75</v>
      </c>
      <c r="F838" s="86" t="s">
        <v>76</v>
      </c>
    </row>
    <row r="839" spans="1:6" ht="15">
      <c r="A839" s="714" t="s">
        <v>83</v>
      </c>
      <c r="B839" s="714"/>
      <c r="C839" s="714"/>
      <c r="D839" s="714"/>
      <c r="E839" s="714"/>
      <c r="F839" s="714"/>
    </row>
    <row r="840" spans="1:6" ht="15">
      <c r="A840" s="219">
        <v>1118</v>
      </c>
      <c r="B840" s="76" t="s">
        <v>321</v>
      </c>
      <c r="C840" s="44" t="s">
        <v>26</v>
      </c>
      <c r="D840" s="64">
        <v>1.05</v>
      </c>
      <c r="E840" s="46">
        <v>17.95</v>
      </c>
      <c r="F840" s="46">
        <f>D840*E840</f>
        <v>18.8475</v>
      </c>
    </row>
    <row r="841" spans="1:6" ht="15">
      <c r="A841" s="219">
        <v>5061</v>
      </c>
      <c r="B841" s="63" t="s">
        <v>105</v>
      </c>
      <c r="C841" s="44" t="s">
        <v>54</v>
      </c>
      <c r="D841" s="64">
        <v>0.15</v>
      </c>
      <c r="E841" s="46">
        <v>7.67</v>
      </c>
      <c r="F841" s="46">
        <f>D841*E841</f>
        <v>1.1504999999999999</v>
      </c>
    </row>
    <row r="842" spans="1:6" ht="45">
      <c r="A842" s="219">
        <v>5104</v>
      </c>
      <c r="B842" s="76" t="s">
        <v>322</v>
      </c>
      <c r="C842" s="44" t="s">
        <v>54</v>
      </c>
      <c r="D842" s="64">
        <v>0.04</v>
      </c>
      <c r="E842" s="46">
        <v>39.67</v>
      </c>
      <c r="F842" s="46">
        <f>D842*E842</f>
        <v>1.5868000000000002</v>
      </c>
    </row>
    <row r="843" spans="1:6" ht="15">
      <c r="A843" s="219">
        <v>13388</v>
      </c>
      <c r="B843" s="76" t="s">
        <v>323</v>
      </c>
      <c r="C843" s="44" t="s">
        <v>54</v>
      </c>
      <c r="D843" s="64">
        <v>0.07</v>
      </c>
      <c r="E843" s="46">
        <v>61.28</v>
      </c>
      <c r="F843" s="46">
        <f>D843*E843</f>
        <v>4.2896</v>
      </c>
    </row>
    <row r="844" spans="1:6" ht="15">
      <c r="A844" s="714" t="s">
        <v>103</v>
      </c>
      <c r="B844" s="714"/>
      <c r="C844" s="714"/>
      <c r="D844" s="714"/>
      <c r="E844" s="714"/>
      <c r="F844" s="714"/>
    </row>
    <row r="845" spans="1:6" ht="15">
      <c r="A845" s="44">
        <v>88323</v>
      </c>
      <c r="B845" s="76" t="s">
        <v>316</v>
      </c>
      <c r="C845" s="44" t="s">
        <v>88</v>
      </c>
      <c r="D845" s="64">
        <v>0.55</v>
      </c>
      <c r="E845" s="221">
        <v>11.21</v>
      </c>
      <c r="F845" s="46">
        <f>D845*E845</f>
        <v>6.165500000000001</v>
      </c>
    </row>
    <row r="846" spans="1:6" ht="15">
      <c r="A846" s="213">
        <v>88316</v>
      </c>
      <c r="B846" s="76" t="s">
        <v>95</v>
      </c>
      <c r="C846" s="44" t="s">
        <v>88</v>
      </c>
      <c r="D846" s="64">
        <v>0.55</v>
      </c>
      <c r="E846" s="221">
        <v>9.68</v>
      </c>
      <c r="F846" s="46">
        <f>D846*E846</f>
        <v>5.324</v>
      </c>
    </row>
    <row r="847" spans="1:6" ht="15">
      <c r="A847" s="715"/>
      <c r="B847" s="715"/>
      <c r="C847" s="715"/>
      <c r="D847" s="715"/>
      <c r="E847" s="715"/>
      <c r="F847" s="715"/>
    </row>
    <row r="848" spans="1:6" ht="15">
      <c r="A848" s="716" t="str">
        <f>"BDI ("&amp;$H$2&amp;"%)"</f>
        <v>BDI (%)</v>
      </c>
      <c r="B848" s="716"/>
      <c r="C848" s="44" t="s">
        <v>80</v>
      </c>
      <c r="D848" s="45">
        <f>$H$2</f>
        <v>0</v>
      </c>
      <c r="E848" s="46">
        <f>SUM(F840:F843,F845:F846)</f>
        <v>37.3639</v>
      </c>
      <c r="F848" s="46">
        <f>D848*E848/100</f>
        <v>0</v>
      </c>
    </row>
    <row r="849" spans="1:6" ht="15.75">
      <c r="A849" s="704" t="s">
        <v>81</v>
      </c>
      <c r="B849" s="704"/>
      <c r="C849" s="48"/>
      <c r="D849" s="92"/>
      <c r="E849" s="50"/>
      <c r="F849" s="50">
        <f>E848+F848</f>
        <v>37.3639</v>
      </c>
    </row>
    <row r="850" spans="1:6" ht="15">
      <c r="A850" s="63"/>
      <c r="B850" s="63"/>
      <c r="C850" s="63"/>
      <c r="D850" s="249"/>
      <c r="E850" s="63"/>
      <c r="F850" s="63"/>
    </row>
    <row r="852" spans="1:6" ht="15.75">
      <c r="A852" s="83" t="s">
        <v>324</v>
      </c>
      <c r="B852" s="705" t="s">
        <v>325</v>
      </c>
      <c r="C852" s="706"/>
      <c r="D852" s="706"/>
      <c r="E852" s="706"/>
      <c r="F852" s="707"/>
    </row>
    <row r="853" spans="1:6" ht="30">
      <c r="A853" s="93" t="s">
        <v>99</v>
      </c>
      <c r="B853" s="84" t="s">
        <v>72</v>
      </c>
      <c r="C853" s="75" t="s">
        <v>73</v>
      </c>
      <c r="D853" s="85" t="s">
        <v>74</v>
      </c>
      <c r="E853" s="86" t="s">
        <v>75</v>
      </c>
      <c r="F853" s="86" t="s">
        <v>76</v>
      </c>
    </row>
    <row r="854" spans="1:6" ht="15">
      <c r="A854" s="696" t="s">
        <v>83</v>
      </c>
      <c r="B854" s="697"/>
      <c r="C854" s="697"/>
      <c r="D854" s="697"/>
      <c r="E854" s="697"/>
      <c r="F854" s="698"/>
    </row>
    <row r="855" spans="1:6" ht="15">
      <c r="A855" s="87">
        <v>6085</v>
      </c>
      <c r="B855" s="74" t="s">
        <v>55</v>
      </c>
      <c r="C855" s="44" t="s">
        <v>130</v>
      </c>
      <c r="D855" s="64">
        <v>0.16</v>
      </c>
      <c r="E855" s="221">
        <v>5.21</v>
      </c>
      <c r="F855" s="46">
        <f>D855*E855</f>
        <v>0.8336</v>
      </c>
    </row>
    <row r="856" spans="1:6" ht="15">
      <c r="A856" s="696" t="s">
        <v>103</v>
      </c>
      <c r="B856" s="697"/>
      <c r="C856" s="697"/>
      <c r="D856" s="697"/>
      <c r="E856" s="697"/>
      <c r="F856" s="698"/>
    </row>
    <row r="857" spans="1:6" ht="15">
      <c r="A857" s="87">
        <v>88310</v>
      </c>
      <c r="B857" s="78" t="s">
        <v>326</v>
      </c>
      <c r="C857" s="44" t="s">
        <v>88</v>
      </c>
      <c r="D857" s="64">
        <v>0.039</v>
      </c>
      <c r="E857" s="46">
        <v>12.51</v>
      </c>
      <c r="F857" s="46">
        <f>D857*E857</f>
        <v>0.48789</v>
      </c>
    </row>
    <row r="858" spans="1:6" ht="15">
      <c r="A858" s="87">
        <v>88316</v>
      </c>
      <c r="B858" s="88" t="s">
        <v>95</v>
      </c>
      <c r="C858" s="44" t="s">
        <v>88</v>
      </c>
      <c r="D858" s="64">
        <v>0.014</v>
      </c>
      <c r="E858" s="46">
        <v>9.68</v>
      </c>
      <c r="F858" s="46">
        <f>D858*E858</f>
        <v>0.13552</v>
      </c>
    </row>
    <row r="859" spans="1:6" ht="15">
      <c r="A859" s="708"/>
      <c r="B859" s="709"/>
      <c r="C859" s="709"/>
      <c r="D859" s="709"/>
      <c r="E859" s="709"/>
      <c r="F859" s="710"/>
    </row>
    <row r="860" spans="1:6" ht="15">
      <c r="A860" s="702" t="str">
        <f>"BDI ("&amp;$H$2&amp;"%)"</f>
        <v>BDI (%)</v>
      </c>
      <c r="B860" s="703"/>
      <c r="C860" s="44" t="s">
        <v>80</v>
      </c>
      <c r="D860" s="45">
        <f>$H$2</f>
        <v>0</v>
      </c>
      <c r="E860" s="46">
        <f>SUM(F855:F855,F857:F858)</f>
        <v>1.4570100000000001</v>
      </c>
      <c r="F860" s="46">
        <f>D860*E860/100</f>
        <v>0</v>
      </c>
    </row>
    <row r="861" spans="1:6" ht="15.75">
      <c r="A861" s="704" t="s">
        <v>81</v>
      </c>
      <c r="B861" s="704"/>
      <c r="C861" s="48"/>
      <c r="D861" s="92"/>
      <c r="E861" s="50"/>
      <c r="F861" s="50">
        <f>E860+F860</f>
        <v>1.4570100000000001</v>
      </c>
    </row>
    <row r="862" spans="1:6" ht="15.75">
      <c r="A862" s="250"/>
      <c r="B862" s="250"/>
      <c r="C862" s="250"/>
      <c r="D862" s="250"/>
      <c r="E862" s="250"/>
      <c r="F862" s="250"/>
    </row>
    <row r="863" spans="1:6" ht="15.75">
      <c r="A863" s="83" t="s">
        <v>327</v>
      </c>
      <c r="B863" s="705" t="s">
        <v>328</v>
      </c>
      <c r="C863" s="706"/>
      <c r="D863" s="706"/>
      <c r="E863" s="706"/>
      <c r="F863" s="707"/>
    </row>
    <row r="864" spans="1:6" ht="30">
      <c r="A864" s="93" t="s">
        <v>99</v>
      </c>
      <c r="B864" s="84" t="s">
        <v>72</v>
      </c>
      <c r="C864" s="75" t="s">
        <v>73</v>
      </c>
      <c r="D864" s="85" t="s">
        <v>74</v>
      </c>
      <c r="E864" s="86" t="s">
        <v>75</v>
      </c>
      <c r="F864" s="86" t="s">
        <v>76</v>
      </c>
    </row>
    <row r="865" spans="1:6" ht="15">
      <c r="A865" s="696" t="s">
        <v>83</v>
      </c>
      <c r="B865" s="697"/>
      <c r="C865" s="697"/>
      <c r="D865" s="697"/>
      <c r="E865" s="697"/>
      <c r="F865" s="698"/>
    </row>
    <row r="866" spans="1:6" ht="15">
      <c r="A866" s="87">
        <v>7345</v>
      </c>
      <c r="B866" s="74" t="s">
        <v>329</v>
      </c>
      <c r="C866" s="44" t="s">
        <v>130</v>
      </c>
      <c r="D866" s="64">
        <v>0.33</v>
      </c>
      <c r="E866" s="46">
        <v>13.89</v>
      </c>
      <c r="F866" s="46">
        <f>D866*E866</f>
        <v>4.5837</v>
      </c>
    </row>
    <row r="867" spans="1:6" ht="15">
      <c r="A867" s="696" t="s">
        <v>103</v>
      </c>
      <c r="B867" s="697"/>
      <c r="C867" s="697"/>
      <c r="D867" s="697"/>
      <c r="E867" s="697"/>
      <c r="F867" s="698"/>
    </row>
    <row r="868" spans="1:6" ht="15">
      <c r="A868" s="87">
        <v>88310</v>
      </c>
      <c r="B868" s="78" t="s">
        <v>326</v>
      </c>
      <c r="C868" s="44" t="s">
        <v>88</v>
      </c>
      <c r="D868" s="64">
        <v>0.13</v>
      </c>
      <c r="E868" s="46">
        <v>12.51</v>
      </c>
      <c r="F868" s="46">
        <f>D868*E868</f>
        <v>1.6263</v>
      </c>
    </row>
    <row r="869" spans="1:6" ht="15">
      <c r="A869" s="87">
        <v>88316</v>
      </c>
      <c r="B869" s="88" t="s">
        <v>95</v>
      </c>
      <c r="C869" s="44" t="s">
        <v>88</v>
      </c>
      <c r="D869" s="64">
        <v>0.048</v>
      </c>
      <c r="E869" s="46">
        <v>9.68</v>
      </c>
      <c r="F869" s="46">
        <f>D869*E869</f>
        <v>0.46464</v>
      </c>
    </row>
    <row r="870" spans="1:6" ht="15">
      <c r="A870" s="708"/>
      <c r="B870" s="709"/>
      <c r="C870" s="709"/>
      <c r="D870" s="709"/>
      <c r="E870" s="709"/>
      <c r="F870" s="710"/>
    </row>
    <row r="871" spans="1:6" ht="15">
      <c r="A871" s="702" t="str">
        <f>"BDI ("&amp;$H$2&amp;"%)"</f>
        <v>BDI (%)</v>
      </c>
      <c r="B871" s="703"/>
      <c r="C871" s="44" t="s">
        <v>80</v>
      </c>
      <c r="D871" s="45">
        <f>$H$2</f>
        <v>0</v>
      </c>
      <c r="E871" s="46">
        <f>SUM(F866:F866,F868:F869)</f>
        <v>6.674640000000001</v>
      </c>
      <c r="F871" s="46">
        <f>D871*E871/100</f>
        <v>0</v>
      </c>
    </row>
    <row r="872" spans="1:6" ht="15.75">
      <c r="A872" s="704" t="s">
        <v>81</v>
      </c>
      <c r="B872" s="704"/>
      <c r="C872" s="48"/>
      <c r="D872" s="92"/>
      <c r="E872" s="50"/>
      <c r="F872" s="50">
        <f>E871+F871</f>
        <v>6.674640000000001</v>
      </c>
    </row>
    <row r="873" spans="1:6" ht="15.75">
      <c r="A873" s="52"/>
      <c r="B873" s="52"/>
      <c r="C873" s="53"/>
      <c r="D873" s="202"/>
      <c r="E873" s="55"/>
      <c r="F873" s="55"/>
    </row>
    <row r="874" spans="1:6" ht="15.75">
      <c r="A874" s="83" t="s">
        <v>330</v>
      </c>
      <c r="B874" s="705" t="s">
        <v>331</v>
      </c>
      <c r="C874" s="706"/>
      <c r="D874" s="706"/>
      <c r="E874" s="706"/>
      <c r="F874" s="707"/>
    </row>
    <row r="875" spans="1:6" ht="30">
      <c r="A875" s="93" t="s">
        <v>99</v>
      </c>
      <c r="B875" s="84" t="s">
        <v>72</v>
      </c>
      <c r="C875" s="75" t="s">
        <v>73</v>
      </c>
      <c r="D875" s="85" t="s">
        <v>74</v>
      </c>
      <c r="E875" s="86" t="s">
        <v>75</v>
      </c>
      <c r="F875" s="86" t="s">
        <v>76</v>
      </c>
    </row>
    <row r="876" spans="1:6" ht="15">
      <c r="A876" s="696" t="s">
        <v>83</v>
      </c>
      <c r="B876" s="697"/>
      <c r="C876" s="697"/>
      <c r="D876" s="697"/>
      <c r="E876" s="697"/>
      <c r="F876" s="698"/>
    </row>
    <row r="877" spans="1:6" ht="30">
      <c r="A877" s="87">
        <v>3767</v>
      </c>
      <c r="B877" s="74" t="s">
        <v>332</v>
      </c>
      <c r="C877" s="44" t="s">
        <v>34</v>
      </c>
      <c r="D877" s="64">
        <v>0.06</v>
      </c>
      <c r="E877" s="46">
        <v>0.64</v>
      </c>
      <c r="F877" s="46">
        <f>D877*E877</f>
        <v>0.0384</v>
      </c>
    </row>
    <row r="878" spans="1:6" ht="15">
      <c r="A878" s="87">
        <v>4051</v>
      </c>
      <c r="B878" s="74" t="s">
        <v>333</v>
      </c>
      <c r="C878" s="44" t="s">
        <v>334</v>
      </c>
      <c r="D878" s="64">
        <v>0.0489</v>
      </c>
      <c r="E878" s="46">
        <v>73</v>
      </c>
      <c r="F878" s="46">
        <f>D878*E878</f>
        <v>3.5697</v>
      </c>
    </row>
    <row r="879" spans="1:6" ht="15">
      <c r="A879" s="696" t="s">
        <v>103</v>
      </c>
      <c r="B879" s="697"/>
      <c r="C879" s="697"/>
      <c r="D879" s="697"/>
      <c r="E879" s="697"/>
      <c r="F879" s="698"/>
    </row>
    <row r="880" spans="1:6" ht="15">
      <c r="A880" s="87">
        <v>88310</v>
      </c>
      <c r="B880" s="78" t="s">
        <v>326</v>
      </c>
      <c r="C880" s="44" t="s">
        <v>88</v>
      </c>
      <c r="D880" s="64">
        <v>0.312</v>
      </c>
      <c r="E880" s="46">
        <v>12.51</v>
      </c>
      <c r="F880" s="46">
        <f>ROUNDDOWN((D880*E880),2)</f>
        <v>3.9</v>
      </c>
    </row>
    <row r="881" spans="1:6" ht="15">
      <c r="A881" s="87">
        <v>88316</v>
      </c>
      <c r="B881" s="88" t="s">
        <v>95</v>
      </c>
      <c r="C881" s="89" t="s">
        <v>88</v>
      </c>
      <c r="D881" s="64">
        <v>0.114</v>
      </c>
      <c r="E881" s="46">
        <v>9.68</v>
      </c>
      <c r="F881" s="46">
        <f>ROUNDUP((D881*E881),2)</f>
        <v>1.11</v>
      </c>
    </row>
    <row r="882" spans="1:6" ht="15">
      <c r="A882" s="708"/>
      <c r="B882" s="709"/>
      <c r="C882" s="709"/>
      <c r="D882" s="709"/>
      <c r="E882" s="709"/>
      <c r="F882" s="710"/>
    </row>
    <row r="883" spans="1:6" ht="15">
      <c r="A883" s="702" t="str">
        <f>"BDI ("&amp;$H$2&amp;"%)"</f>
        <v>BDI (%)</v>
      </c>
      <c r="B883" s="703"/>
      <c r="C883" s="44" t="s">
        <v>80</v>
      </c>
      <c r="D883" s="45">
        <f>$H$2</f>
        <v>0</v>
      </c>
      <c r="E883" s="46">
        <f>SUM(F877:F878,F880:F881)</f>
        <v>8.6181</v>
      </c>
      <c r="F883" s="46">
        <f>D883*E883/100</f>
        <v>0</v>
      </c>
    </row>
    <row r="884" spans="1:6" ht="15.75">
      <c r="A884" s="704" t="s">
        <v>81</v>
      </c>
      <c r="B884" s="704"/>
      <c r="C884" s="48"/>
      <c r="D884" s="92"/>
      <c r="E884" s="50"/>
      <c r="F884" s="50">
        <f>E883+F883</f>
        <v>8.6181</v>
      </c>
    </row>
    <row r="885" spans="1:6" ht="15.75">
      <c r="A885" s="52"/>
      <c r="B885" s="52"/>
      <c r="C885" s="53"/>
      <c r="D885" s="202"/>
      <c r="E885" s="55"/>
      <c r="F885" s="55"/>
    </row>
    <row r="886" spans="1:6" ht="15.75">
      <c r="A886" s="83" t="s">
        <v>335</v>
      </c>
      <c r="B886" s="705" t="s">
        <v>336</v>
      </c>
      <c r="C886" s="706"/>
      <c r="D886" s="706"/>
      <c r="E886" s="706"/>
      <c r="F886" s="707"/>
    </row>
    <row r="887" spans="1:6" ht="30">
      <c r="A887" s="93" t="s">
        <v>99</v>
      </c>
      <c r="B887" s="84" t="s">
        <v>72</v>
      </c>
      <c r="C887" s="75" t="s">
        <v>73</v>
      </c>
      <c r="D887" s="85" t="s">
        <v>74</v>
      </c>
      <c r="E887" s="86" t="s">
        <v>75</v>
      </c>
      <c r="F887" s="86" t="s">
        <v>76</v>
      </c>
    </row>
    <row r="888" spans="1:6" ht="15">
      <c r="A888" s="696" t="s">
        <v>83</v>
      </c>
      <c r="B888" s="697"/>
      <c r="C888" s="697"/>
      <c r="D888" s="697"/>
      <c r="E888" s="697"/>
      <c r="F888" s="698"/>
    </row>
    <row r="889" spans="1:6" ht="30">
      <c r="A889" s="87">
        <v>38877</v>
      </c>
      <c r="B889" s="74" t="s">
        <v>337</v>
      </c>
      <c r="C889" s="44" t="s">
        <v>54</v>
      </c>
      <c r="D889" s="64">
        <v>1.938</v>
      </c>
      <c r="E889" s="46">
        <v>4.95</v>
      </c>
      <c r="F889" s="46">
        <f>ROUNDUP((D889*E889),2)</f>
        <v>9.6</v>
      </c>
    </row>
    <row r="890" spans="1:6" ht="15">
      <c r="A890" s="696" t="s">
        <v>103</v>
      </c>
      <c r="B890" s="697"/>
      <c r="C890" s="697"/>
      <c r="D890" s="697"/>
      <c r="E890" s="697"/>
      <c r="F890" s="698"/>
    </row>
    <row r="891" spans="1:6" ht="15">
      <c r="A891" s="87">
        <v>88310</v>
      </c>
      <c r="B891" s="78" t="s">
        <v>326</v>
      </c>
      <c r="C891" s="44" t="s">
        <v>88</v>
      </c>
      <c r="D891" s="64">
        <v>0.176</v>
      </c>
      <c r="E891" s="46">
        <v>12.51</v>
      </c>
      <c r="F891" s="46">
        <f>ROUNDDOWN((D891*E891),2)</f>
        <v>2.2</v>
      </c>
    </row>
    <row r="892" spans="1:6" ht="15">
      <c r="A892" s="87">
        <v>88316</v>
      </c>
      <c r="B892" s="88" t="s">
        <v>95</v>
      </c>
      <c r="C892" s="89" t="s">
        <v>88</v>
      </c>
      <c r="D892" s="64">
        <v>0.044</v>
      </c>
      <c r="E892" s="46">
        <v>9.68</v>
      </c>
      <c r="F892" s="46">
        <f>ROUNDUP((D892*E892),2)</f>
        <v>0.43</v>
      </c>
    </row>
    <row r="893" spans="1:6" ht="15">
      <c r="A893" s="708"/>
      <c r="B893" s="709"/>
      <c r="C893" s="709"/>
      <c r="D893" s="709"/>
      <c r="E893" s="709"/>
      <c r="F893" s="710"/>
    </row>
    <row r="894" spans="1:6" ht="15">
      <c r="A894" s="702" t="str">
        <f>"BDI ("&amp;$H$2&amp;"%)"</f>
        <v>BDI (%)</v>
      </c>
      <c r="B894" s="703"/>
      <c r="C894" s="44" t="s">
        <v>80</v>
      </c>
      <c r="D894" s="45">
        <f>$H$2</f>
        <v>0</v>
      </c>
      <c r="E894" s="46">
        <f>SUM(F889:F889,F891:F892)</f>
        <v>12.23</v>
      </c>
      <c r="F894" s="46">
        <f>D894*E894/100</f>
        <v>0</v>
      </c>
    </row>
    <row r="895" spans="1:6" ht="15.75">
      <c r="A895" s="704" t="s">
        <v>81</v>
      </c>
      <c r="B895" s="704"/>
      <c r="C895" s="48"/>
      <c r="D895" s="92"/>
      <c r="E895" s="50"/>
      <c r="F895" s="50">
        <f>E894+F894</f>
        <v>12.23</v>
      </c>
    </row>
    <row r="896" spans="1:6" ht="15.75">
      <c r="A896" s="52"/>
      <c r="B896" s="52"/>
      <c r="C896" s="53"/>
      <c r="D896" s="202"/>
      <c r="E896" s="55"/>
      <c r="F896" s="55"/>
    </row>
    <row r="897" spans="1:6" ht="31.5">
      <c r="A897" s="83" t="s">
        <v>338</v>
      </c>
      <c r="B897" s="705" t="s">
        <v>339</v>
      </c>
      <c r="C897" s="706"/>
      <c r="D897" s="706"/>
      <c r="E897" s="706"/>
      <c r="F897" s="707"/>
    </row>
    <row r="898" spans="1:6" ht="30">
      <c r="A898" s="93" t="s">
        <v>99</v>
      </c>
      <c r="B898" s="84" t="s">
        <v>72</v>
      </c>
      <c r="C898" s="75" t="s">
        <v>73</v>
      </c>
      <c r="D898" s="85" t="s">
        <v>74</v>
      </c>
      <c r="E898" s="86" t="s">
        <v>75</v>
      </c>
      <c r="F898" s="86" t="s">
        <v>76</v>
      </c>
    </row>
    <row r="899" spans="1:6" ht="15">
      <c r="A899" s="696" t="s">
        <v>83</v>
      </c>
      <c r="B899" s="697"/>
      <c r="C899" s="697"/>
      <c r="D899" s="697"/>
      <c r="E899" s="697"/>
      <c r="F899" s="698"/>
    </row>
    <row r="900" spans="1:6" ht="15">
      <c r="A900" s="87">
        <v>7307</v>
      </c>
      <c r="B900" s="74" t="s">
        <v>340</v>
      </c>
      <c r="C900" s="44" t="s">
        <v>130</v>
      </c>
      <c r="D900" s="64">
        <v>0.24</v>
      </c>
      <c r="E900" s="46">
        <v>16.92</v>
      </c>
      <c r="F900" s="46">
        <f>D900*E900</f>
        <v>4.0608</v>
      </c>
    </row>
    <row r="901" spans="1:6" ht="15">
      <c r="A901" s="696" t="s">
        <v>103</v>
      </c>
      <c r="B901" s="697"/>
      <c r="C901" s="697"/>
      <c r="D901" s="697"/>
      <c r="E901" s="697"/>
      <c r="F901" s="698"/>
    </row>
    <row r="902" spans="1:6" ht="15">
      <c r="A902" s="87">
        <v>88310</v>
      </c>
      <c r="B902" s="78" t="s">
        <v>326</v>
      </c>
      <c r="C902" s="44" t="s">
        <v>88</v>
      </c>
      <c r="D902" s="64">
        <v>0.4</v>
      </c>
      <c r="E902" s="46">
        <v>12.51</v>
      </c>
      <c r="F902" s="46">
        <f>D902*E902</f>
        <v>5.0040000000000004</v>
      </c>
    </row>
    <row r="903" spans="1:6" ht="15">
      <c r="A903" s="87">
        <v>88316</v>
      </c>
      <c r="B903" s="88" t="s">
        <v>95</v>
      </c>
      <c r="C903" s="44" t="s">
        <v>88</v>
      </c>
      <c r="D903" s="64">
        <v>0.3</v>
      </c>
      <c r="E903" s="46">
        <v>9.68</v>
      </c>
      <c r="F903" s="46">
        <f>D903*E903</f>
        <v>2.904</v>
      </c>
    </row>
    <row r="904" spans="1:6" ht="15">
      <c r="A904" s="708"/>
      <c r="B904" s="709"/>
      <c r="C904" s="709"/>
      <c r="D904" s="709"/>
      <c r="E904" s="709"/>
      <c r="F904" s="710"/>
    </row>
    <row r="905" spans="1:6" ht="15">
      <c r="A905" s="702" t="str">
        <f>"BDI ("&amp;$H$2&amp;"%)"</f>
        <v>BDI (%)</v>
      </c>
      <c r="B905" s="703"/>
      <c r="C905" s="44" t="s">
        <v>80</v>
      </c>
      <c r="D905" s="45">
        <f>$H$2</f>
        <v>0</v>
      </c>
      <c r="E905" s="46">
        <f>SUM(F900:F900,F902:F903)</f>
        <v>11.968800000000002</v>
      </c>
      <c r="F905" s="46">
        <f>D905*E905/100</f>
        <v>0</v>
      </c>
    </row>
    <row r="906" spans="1:6" ht="15.75">
      <c r="A906" s="704" t="s">
        <v>81</v>
      </c>
      <c r="B906" s="704"/>
      <c r="C906" s="48"/>
      <c r="D906" s="92"/>
      <c r="E906" s="50"/>
      <c r="F906" s="50">
        <f>E905+F905</f>
        <v>11.968800000000002</v>
      </c>
    </row>
    <row r="907" spans="1:6" ht="15.75">
      <c r="A907" s="250"/>
      <c r="B907" s="250"/>
      <c r="C907" s="250"/>
      <c r="D907" s="250"/>
      <c r="E907" s="250"/>
      <c r="F907" s="250"/>
    </row>
    <row r="908" spans="1:6" ht="31.5">
      <c r="A908" s="83" t="s">
        <v>341</v>
      </c>
      <c r="B908" s="705" t="s">
        <v>342</v>
      </c>
      <c r="C908" s="706"/>
      <c r="D908" s="706"/>
      <c r="E908" s="706"/>
      <c r="F908" s="707"/>
    </row>
    <row r="909" spans="1:6" ht="30">
      <c r="A909" s="58" t="s">
        <v>99</v>
      </c>
      <c r="B909" s="84" t="s">
        <v>72</v>
      </c>
      <c r="C909" s="75" t="s">
        <v>73</v>
      </c>
      <c r="D909" s="85" t="s">
        <v>74</v>
      </c>
      <c r="E909" s="86" t="s">
        <v>75</v>
      </c>
      <c r="F909" s="86" t="s">
        <v>76</v>
      </c>
    </row>
    <row r="910" spans="1:6" ht="15">
      <c r="A910" s="696" t="s">
        <v>83</v>
      </c>
      <c r="B910" s="697"/>
      <c r="C910" s="697"/>
      <c r="D910" s="697"/>
      <c r="E910" s="697"/>
      <c r="F910" s="698"/>
    </row>
    <row r="911" spans="1:6" ht="15">
      <c r="A911" s="87">
        <v>3768</v>
      </c>
      <c r="B911" s="78" t="s">
        <v>343</v>
      </c>
      <c r="C911" s="44" t="s">
        <v>34</v>
      </c>
      <c r="D911" s="64">
        <v>0.6</v>
      </c>
      <c r="E911" s="46">
        <v>2.68</v>
      </c>
      <c r="F911" s="46">
        <f>D911*E911</f>
        <v>1.608</v>
      </c>
    </row>
    <row r="912" spans="1:6" ht="15">
      <c r="A912" s="87">
        <v>5318</v>
      </c>
      <c r="B912" s="78" t="s">
        <v>344</v>
      </c>
      <c r="C912" s="44" t="s">
        <v>130</v>
      </c>
      <c r="D912" s="64">
        <v>0.07</v>
      </c>
      <c r="E912" s="46">
        <v>10.86</v>
      </c>
      <c r="F912" s="46">
        <f>D912*E912</f>
        <v>0.7602</v>
      </c>
    </row>
    <row r="913" spans="1:6" ht="15">
      <c r="A913" s="87">
        <v>7311</v>
      </c>
      <c r="B913" s="78" t="s">
        <v>345</v>
      </c>
      <c r="C913" s="44" t="s">
        <v>130</v>
      </c>
      <c r="D913" s="64">
        <v>0.16</v>
      </c>
      <c r="E913" s="46">
        <v>19.22</v>
      </c>
      <c r="F913" s="46">
        <f>D913*E913</f>
        <v>3.0751999999999997</v>
      </c>
    </row>
    <row r="914" spans="1:6" ht="15">
      <c r="A914" s="696" t="s">
        <v>103</v>
      </c>
      <c r="B914" s="697"/>
      <c r="C914" s="697"/>
      <c r="D914" s="697"/>
      <c r="E914" s="697"/>
      <c r="F914" s="698"/>
    </row>
    <row r="915" spans="1:6" ht="15">
      <c r="A915" s="87">
        <v>88310</v>
      </c>
      <c r="B915" s="78" t="s">
        <v>326</v>
      </c>
      <c r="C915" s="44" t="s">
        <v>88</v>
      </c>
      <c r="D915" s="64">
        <v>0.5</v>
      </c>
      <c r="E915" s="46">
        <v>12.51</v>
      </c>
      <c r="F915" s="46">
        <f>D915*E915</f>
        <v>6.255</v>
      </c>
    </row>
    <row r="916" spans="1:6" ht="15">
      <c r="A916" s="87">
        <v>88316</v>
      </c>
      <c r="B916" s="88" t="s">
        <v>95</v>
      </c>
      <c r="C916" s="44" t="s">
        <v>88</v>
      </c>
      <c r="D916" s="64">
        <v>0.5</v>
      </c>
      <c r="E916" s="46">
        <v>9.68</v>
      </c>
      <c r="F916" s="46">
        <f>D916*E916</f>
        <v>4.84</v>
      </c>
    </row>
    <row r="917" spans="1:6" ht="15">
      <c r="A917" s="699"/>
      <c r="B917" s="700"/>
      <c r="C917" s="700"/>
      <c r="D917" s="700"/>
      <c r="E917" s="700"/>
      <c r="F917" s="701"/>
    </row>
    <row r="918" spans="1:6" ht="15">
      <c r="A918" s="702" t="str">
        <f>"BDI ("&amp;$H$2&amp;"%)"</f>
        <v>BDI (%)</v>
      </c>
      <c r="B918" s="703"/>
      <c r="C918" s="44" t="s">
        <v>80</v>
      </c>
      <c r="D918" s="45">
        <f>$H$2</f>
        <v>0</v>
      </c>
      <c r="E918" s="46">
        <f>SUM(F911:F913,F915:F916)</f>
        <v>16.5384</v>
      </c>
      <c r="F918" s="46">
        <f>D918*E918/100</f>
        <v>0</v>
      </c>
    </row>
    <row r="919" spans="1:6" ht="15.75">
      <c r="A919" s="704" t="s">
        <v>81</v>
      </c>
      <c r="B919" s="704"/>
      <c r="C919" s="48"/>
      <c r="D919" s="92"/>
      <c r="E919" s="50"/>
      <c r="F919" s="50">
        <f>E918+F918</f>
        <v>16.5384</v>
      </c>
    </row>
    <row r="920" spans="1:6" ht="15.75">
      <c r="A920" s="250"/>
      <c r="B920" s="250"/>
      <c r="C920" s="250"/>
      <c r="D920" s="250"/>
      <c r="E920" s="250"/>
      <c r="F920" s="250"/>
    </row>
    <row r="921" spans="1:6" ht="15.75">
      <c r="A921" s="83" t="s">
        <v>335</v>
      </c>
      <c r="B921" s="705" t="s">
        <v>336</v>
      </c>
      <c r="C921" s="706"/>
      <c r="D921" s="706"/>
      <c r="E921" s="706"/>
      <c r="F921" s="707"/>
    </row>
    <row r="922" spans="1:6" ht="30">
      <c r="A922" s="93" t="s">
        <v>99</v>
      </c>
      <c r="B922" s="84" t="s">
        <v>72</v>
      </c>
      <c r="C922" s="75" t="s">
        <v>73</v>
      </c>
      <c r="D922" s="85" t="s">
        <v>74</v>
      </c>
      <c r="E922" s="86" t="s">
        <v>75</v>
      </c>
      <c r="F922" s="86" t="s">
        <v>76</v>
      </c>
    </row>
    <row r="923" spans="1:6" ht="15">
      <c r="A923" s="696" t="s">
        <v>83</v>
      </c>
      <c r="B923" s="697"/>
      <c r="C923" s="697"/>
      <c r="D923" s="697"/>
      <c r="E923" s="697"/>
      <c r="F923" s="698"/>
    </row>
    <row r="924" spans="1:6" ht="30">
      <c r="A924" s="87">
        <v>38877</v>
      </c>
      <c r="B924" s="74" t="s">
        <v>337</v>
      </c>
      <c r="C924" s="44" t="s">
        <v>54</v>
      </c>
      <c r="D924" s="64">
        <v>1.938</v>
      </c>
      <c r="E924" s="46">
        <v>4.95</v>
      </c>
      <c r="F924" s="46">
        <f>ROUNDUP((D924*E924),2)</f>
        <v>9.6</v>
      </c>
    </row>
    <row r="925" spans="1:6" ht="15">
      <c r="A925" s="696" t="s">
        <v>103</v>
      </c>
      <c r="B925" s="697"/>
      <c r="C925" s="697"/>
      <c r="D925" s="697"/>
      <c r="E925" s="697"/>
      <c r="F925" s="698"/>
    </row>
    <row r="926" spans="1:6" ht="15">
      <c r="A926" s="87">
        <v>88310</v>
      </c>
      <c r="B926" s="78" t="s">
        <v>326</v>
      </c>
      <c r="C926" s="44" t="s">
        <v>88</v>
      </c>
      <c r="D926" s="64">
        <v>0.176</v>
      </c>
      <c r="E926" s="46">
        <v>12.51</v>
      </c>
      <c r="F926" s="46">
        <f>ROUNDDOWN((D926*E926),2)</f>
        <v>2.2</v>
      </c>
    </row>
    <row r="927" spans="1:6" ht="15">
      <c r="A927" s="87">
        <v>88316</v>
      </c>
      <c r="B927" s="88" t="s">
        <v>95</v>
      </c>
      <c r="C927" s="89" t="s">
        <v>88</v>
      </c>
      <c r="D927" s="64">
        <v>0.044</v>
      </c>
      <c r="E927" s="46">
        <v>9.68</v>
      </c>
      <c r="F927" s="46">
        <f>ROUNDUP((D927*E927),2)</f>
        <v>0.43</v>
      </c>
    </row>
    <row r="928" spans="1:6" ht="15">
      <c r="A928" s="708"/>
      <c r="B928" s="709"/>
      <c r="C928" s="709"/>
      <c r="D928" s="709"/>
      <c r="E928" s="709"/>
      <c r="F928" s="710"/>
    </row>
    <row r="929" spans="1:6" ht="15">
      <c r="A929" s="702" t="str">
        <f>"BDI ("&amp;$H$2&amp;"%)"</f>
        <v>BDI (%)</v>
      </c>
      <c r="B929" s="711"/>
      <c r="C929" s="44" t="s">
        <v>80</v>
      </c>
      <c r="D929" s="45">
        <f>$H$2</f>
        <v>0</v>
      </c>
      <c r="E929" s="46">
        <f>SUM(F924:F924,F926:F927)</f>
        <v>12.23</v>
      </c>
      <c r="F929" s="46">
        <f>D929*E929/100</f>
        <v>0</v>
      </c>
    </row>
    <row r="930" spans="1:6" ht="15.75">
      <c r="A930" s="712" t="s">
        <v>81</v>
      </c>
      <c r="B930" s="713"/>
      <c r="C930" s="48"/>
      <c r="D930" s="92"/>
      <c r="E930" s="50"/>
      <c r="F930" s="50">
        <f>E929+F929</f>
        <v>12.23</v>
      </c>
    </row>
    <row r="931" spans="1:6" ht="15.75">
      <c r="A931" s="52"/>
      <c r="B931" s="52"/>
      <c r="C931" s="53"/>
      <c r="D931" s="202"/>
      <c r="E931" s="55"/>
      <c r="F931" s="55"/>
    </row>
    <row r="932" spans="1:6" ht="31.5">
      <c r="A932" s="83" t="s">
        <v>338</v>
      </c>
      <c r="B932" s="97" t="s">
        <v>339</v>
      </c>
      <c r="C932" s="98"/>
      <c r="D932" s="98"/>
      <c r="E932" s="98"/>
      <c r="F932" s="99"/>
    </row>
    <row r="933" spans="1:6" ht="30">
      <c r="A933" s="93" t="s">
        <v>99</v>
      </c>
      <c r="B933" s="84" t="s">
        <v>72</v>
      </c>
      <c r="C933" s="75" t="s">
        <v>73</v>
      </c>
      <c r="D933" s="85" t="s">
        <v>74</v>
      </c>
      <c r="E933" s="86" t="s">
        <v>75</v>
      </c>
      <c r="F933" s="86" t="s">
        <v>76</v>
      </c>
    </row>
    <row r="934" spans="1:6" ht="15">
      <c r="A934" s="34" t="s">
        <v>83</v>
      </c>
      <c r="B934" s="100"/>
      <c r="C934" s="100"/>
      <c r="D934" s="100"/>
      <c r="E934" s="100"/>
      <c r="F934" s="101"/>
    </row>
    <row r="935" spans="1:6" ht="15">
      <c r="A935" s="87">
        <v>7307</v>
      </c>
      <c r="B935" s="74" t="s">
        <v>340</v>
      </c>
      <c r="C935" s="44" t="s">
        <v>130</v>
      </c>
      <c r="D935" s="64">
        <v>0.24</v>
      </c>
      <c r="E935" s="46">
        <v>16.92</v>
      </c>
      <c r="F935" s="46">
        <f>D935*E935</f>
        <v>4.0608</v>
      </c>
    </row>
    <row r="936" spans="1:6" ht="15">
      <c r="A936" s="34" t="s">
        <v>103</v>
      </c>
      <c r="B936" s="100"/>
      <c r="C936" s="100"/>
      <c r="D936" s="100"/>
      <c r="E936" s="100"/>
      <c r="F936" s="101"/>
    </row>
    <row r="937" spans="1:6" ht="15">
      <c r="A937" s="87">
        <v>88310</v>
      </c>
      <c r="B937" s="78" t="s">
        <v>326</v>
      </c>
      <c r="C937" s="44" t="s">
        <v>88</v>
      </c>
      <c r="D937" s="64">
        <v>0.4</v>
      </c>
      <c r="E937" s="46">
        <v>12.51</v>
      </c>
      <c r="F937" s="46">
        <f>D937*E937</f>
        <v>5.0040000000000004</v>
      </c>
    </row>
    <row r="938" spans="1:6" ht="15">
      <c r="A938" s="87">
        <v>88316</v>
      </c>
      <c r="B938" s="88" t="s">
        <v>95</v>
      </c>
      <c r="C938" s="44" t="s">
        <v>88</v>
      </c>
      <c r="D938" s="64">
        <v>0.3</v>
      </c>
      <c r="E938" s="46">
        <v>9.68</v>
      </c>
      <c r="F938" s="46">
        <f>D938*E938</f>
        <v>2.904</v>
      </c>
    </row>
    <row r="939" spans="1:6" ht="15">
      <c r="A939" s="251"/>
      <c r="B939" s="252"/>
      <c r="C939" s="252"/>
      <c r="D939" s="252"/>
      <c r="E939" s="252"/>
      <c r="F939" s="253"/>
    </row>
    <row r="940" spans="1:6" ht="15">
      <c r="A940" s="78" t="str">
        <f>"BDI ("&amp;$H$2&amp;"%)"</f>
        <v>BDI (%)</v>
      </c>
      <c r="B940" s="254"/>
      <c r="C940" s="44" t="s">
        <v>80</v>
      </c>
      <c r="D940" s="45">
        <f>$H$2</f>
        <v>0</v>
      </c>
      <c r="E940" s="46">
        <f>SUM(F935:F935,F937:F938)</f>
        <v>11.968800000000002</v>
      </c>
      <c r="F940" s="46">
        <f>D940*E940/100</f>
        <v>0</v>
      </c>
    </row>
    <row r="941" spans="1:6" ht="15.75">
      <c r="A941" s="712" t="s">
        <v>81</v>
      </c>
      <c r="B941" s="713"/>
      <c r="C941" s="48"/>
      <c r="D941" s="92"/>
      <c r="E941" s="50"/>
      <c r="F941" s="50">
        <f>E940+F940</f>
        <v>11.968800000000002</v>
      </c>
    </row>
    <row r="942" spans="1:6" ht="15.75">
      <c r="A942" s="250"/>
      <c r="B942" s="250"/>
      <c r="C942" s="250"/>
      <c r="D942" s="250"/>
      <c r="E942" s="250"/>
      <c r="F942" s="250"/>
    </row>
    <row r="943" spans="1:6" ht="31.5">
      <c r="A943" s="83" t="s">
        <v>341</v>
      </c>
      <c r="B943" s="705" t="s">
        <v>342</v>
      </c>
      <c r="C943" s="706"/>
      <c r="D943" s="706"/>
      <c r="E943" s="706"/>
      <c r="F943" s="707"/>
    </row>
    <row r="944" spans="1:6" ht="30">
      <c r="A944" s="58" t="s">
        <v>99</v>
      </c>
      <c r="B944" s="84" t="s">
        <v>72</v>
      </c>
      <c r="C944" s="75" t="s">
        <v>73</v>
      </c>
      <c r="D944" s="85" t="s">
        <v>74</v>
      </c>
      <c r="E944" s="86" t="s">
        <v>75</v>
      </c>
      <c r="F944" s="86" t="s">
        <v>76</v>
      </c>
    </row>
    <row r="945" spans="1:6" ht="15">
      <c r="A945" s="696" t="s">
        <v>83</v>
      </c>
      <c r="B945" s="697"/>
      <c r="C945" s="697"/>
      <c r="D945" s="697"/>
      <c r="E945" s="697"/>
      <c r="F945" s="698"/>
    </row>
    <row r="946" spans="1:6" ht="15">
      <c r="A946" s="87">
        <v>3768</v>
      </c>
      <c r="B946" s="78" t="s">
        <v>343</v>
      </c>
      <c r="C946" s="44" t="s">
        <v>34</v>
      </c>
      <c r="D946" s="64">
        <v>0.6</v>
      </c>
      <c r="E946" s="46">
        <v>2.68</v>
      </c>
      <c r="F946" s="46">
        <f>D946*E946</f>
        <v>1.608</v>
      </c>
    </row>
    <row r="947" spans="1:6" ht="15">
      <c r="A947" s="87">
        <v>5318</v>
      </c>
      <c r="B947" s="78" t="s">
        <v>344</v>
      </c>
      <c r="C947" s="44" t="s">
        <v>130</v>
      </c>
      <c r="D947" s="64">
        <v>0.07</v>
      </c>
      <c r="E947" s="46">
        <v>10.86</v>
      </c>
      <c r="F947" s="46">
        <f>D947*E947</f>
        <v>0.7602</v>
      </c>
    </row>
    <row r="948" spans="1:6" ht="15">
      <c r="A948" s="87">
        <v>7311</v>
      </c>
      <c r="B948" s="78" t="s">
        <v>345</v>
      </c>
      <c r="C948" s="44" t="s">
        <v>130</v>
      </c>
      <c r="D948" s="64">
        <v>0.16</v>
      </c>
      <c r="E948" s="46">
        <v>19.22</v>
      </c>
      <c r="F948" s="46">
        <f>D948*E948</f>
        <v>3.0751999999999997</v>
      </c>
    </row>
    <row r="949" spans="1:6" ht="15">
      <c r="A949" s="696" t="s">
        <v>103</v>
      </c>
      <c r="B949" s="697"/>
      <c r="C949" s="697"/>
      <c r="D949" s="697"/>
      <c r="E949" s="697"/>
      <c r="F949" s="698"/>
    </row>
    <row r="950" spans="1:6" ht="15">
      <c r="A950" s="87">
        <v>88310</v>
      </c>
      <c r="B950" s="78" t="s">
        <v>326</v>
      </c>
      <c r="C950" s="44" t="s">
        <v>88</v>
      </c>
      <c r="D950" s="64">
        <v>0.5</v>
      </c>
      <c r="E950" s="46">
        <v>12.51</v>
      </c>
      <c r="F950" s="46">
        <f>D950*E950</f>
        <v>6.255</v>
      </c>
    </row>
    <row r="951" spans="1:6" ht="15">
      <c r="A951" s="87">
        <v>88316</v>
      </c>
      <c r="B951" s="88" t="s">
        <v>95</v>
      </c>
      <c r="C951" s="44" t="s">
        <v>88</v>
      </c>
      <c r="D951" s="64">
        <v>0.5</v>
      </c>
      <c r="E951" s="46">
        <v>9.68</v>
      </c>
      <c r="F951" s="46">
        <f>D951*E951</f>
        <v>4.84</v>
      </c>
    </row>
    <row r="952" spans="1:6" ht="15">
      <c r="A952" s="699"/>
      <c r="B952" s="700"/>
      <c r="C952" s="700"/>
      <c r="D952" s="700"/>
      <c r="E952" s="700"/>
      <c r="F952" s="701"/>
    </row>
    <row r="953" spans="1:6" ht="15">
      <c r="A953" s="702" t="str">
        <f>"BDI ("&amp;$H$2&amp;"%)"</f>
        <v>BDI (%)</v>
      </c>
      <c r="B953" s="703"/>
      <c r="C953" s="44" t="s">
        <v>80</v>
      </c>
      <c r="D953" s="45">
        <f>$H$2</f>
        <v>0</v>
      </c>
      <c r="E953" s="46">
        <f>SUM(F946:F948,F950:F951)</f>
        <v>16.5384</v>
      </c>
      <c r="F953" s="46">
        <f>D953*E953/100</f>
        <v>0</v>
      </c>
    </row>
    <row r="954" spans="1:6" ht="15.75">
      <c r="A954" s="704" t="s">
        <v>81</v>
      </c>
      <c r="B954" s="704"/>
      <c r="C954" s="48"/>
      <c r="D954" s="92"/>
      <c r="E954" s="50"/>
      <c r="F954" s="50">
        <f>E953+F953</f>
        <v>16.5384</v>
      </c>
    </row>
    <row r="955" spans="1:6" ht="15.75">
      <c r="A955" s="68"/>
      <c r="B955" s="69"/>
      <c r="C955" s="70"/>
      <c r="D955" s="255"/>
      <c r="E955" s="72"/>
      <c r="F955" s="95"/>
    </row>
    <row r="956" spans="1:6" ht="15.75">
      <c r="A956" s="83" t="s">
        <v>107</v>
      </c>
      <c r="B956" s="705" t="s">
        <v>346</v>
      </c>
      <c r="C956" s="706"/>
      <c r="D956" s="706"/>
      <c r="E956" s="706"/>
      <c r="F956" s="707"/>
    </row>
    <row r="957" spans="1:6" ht="30">
      <c r="A957" s="58" t="s">
        <v>99</v>
      </c>
      <c r="B957" s="84" t="s">
        <v>72</v>
      </c>
      <c r="C957" s="75" t="s">
        <v>73</v>
      </c>
      <c r="D957" s="85" t="s">
        <v>74</v>
      </c>
      <c r="E957" s="86" t="s">
        <v>75</v>
      </c>
      <c r="F957" s="86" t="s">
        <v>76</v>
      </c>
    </row>
    <row r="958" spans="1:6" ht="15">
      <c r="A958" s="696" t="s">
        <v>83</v>
      </c>
      <c r="B958" s="697"/>
      <c r="C958" s="697"/>
      <c r="D958" s="697"/>
      <c r="E958" s="697"/>
      <c r="F958" s="698"/>
    </row>
    <row r="959" spans="1:6" ht="15">
      <c r="A959" s="87">
        <v>3767</v>
      </c>
      <c r="B959" s="78" t="s">
        <v>347</v>
      </c>
      <c r="C959" s="44" t="s">
        <v>34</v>
      </c>
      <c r="D959" s="64">
        <v>0.6</v>
      </c>
      <c r="E959" s="46">
        <v>0.85</v>
      </c>
      <c r="F959" s="46">
        <f>D959*E959</f>
        <v>0.51</v>
      </c>
    </row>
    <row r="960" spans="1:6" ht="15">
      <c r="A960" s="87">
        <v>7311</v>
      </c>
      <c r="B960" s="78" t="s">
        <v>345</v>
      </c>
      <c r="C960" s="44" t="s">
        <v>130</v>
      </c>
      <c r="D960" s="64">
        <v>0.16</v>
      </c>
      <c r="E960" s="46">
        <v>19.22</v>
      </c>
      <c r="F960" s="46">
        <f>D960*E960</f>
        <v>3.0751999999999997</v>
      </c>
    </row>
    <row r="961" spans="1:6" ht="15">
      <c r="A961" s="696" t="s">
        <v>103</v>
      </c>
      <c r="B961" s="697"/>
      <c r="C961" s="697"/>
      <c r="D961" s="697"/>
      <c r="E961" s="697"/>
      <c r="F961" s="698"/>
    </row>
    <row r="962" spans="1:6" ht="15">
      <c r="A962" s="87">
        <v>88310</v>
      </c>
      <c r="B962" s="78" t="s">
        <v>326</v>
      </c>
      <c r="C962" s="44" t="s">
        <v>88</v>
      </c>
      <c r="D962" s="64">
        <v>0.4</v>
      </c>
      <c r="E962" s="46">
        <v>16.38</v>
      </c>
      <c r="F962" s="46">
        <f>D962*E962</f>
        <v>6.552</v>
      </c>
    </row>
    <row r="963" spans="1:6" ht="15">
      <c r="A963" s="87">
        <v>88316</v>
      </c>
      <c r="B963" s="88" t="s">
        <v>95</v>
      </c>
      <c r="C963" s="44" t="s">
        <v>88</v>
      </c>
      <c r="D963" s="64">
        <v>0.4</v>
      </c>
      <c r="E963" s="46">
        <v>13.03</v>
      </c>
      <c r="F963" s="46">
        <f>D963*E963</f>
        <v>5.212</v>
      </c>
    </row>
    <row r="964" spans="1:6" ht="15">
      <c r="A964" s="699"/>
      <c r="B964" s="700"/>
      <c r="C964" s="700"/>
      <c r="D964" s="700"/>
      <c r="E964" s="700"/>
      <c r="F964" s="701"/>
    </row>
    <row r="965" spans="1:6" ht="15">
      <c r="A965" s="702" t="str">
        <f>"BDI ("&amp;$H$2&amp;"%)"</f>
        <v>BDI (%)</v>
      </c>
      <c r="B965" s="703"/>
      <c r="C965" s="44" t="s">
        <v>80</v>
      </c>
      <c r="D965" s="45">
        <f>$H$2</f>
        <v>0</v>
      </c>
      <c r="E965" s="46">
        <f>SUM(F959:F960,F962:F963)</f>
        <v>15.3492</v>
      </c>
      <c r="F965" s="46">
        <f>D965*E965/100</f>
        <v>0</v>
      </c>
    </row>
    <row r="966" spans="1:6" ht="15.75">
      <c r="A966" s="704" t="s">
        <v>81</v>
      </c>
      <c r="B966" s="704"/>
      <c r="C966" s="48"/>
      <c r="D966" s="92"/>
      <c r="E966" s="50"/>
      <c r="F966" s="50">
        <f>E965+F965</f>
        <v>15.3492</v>
      </c>
    </row>
    <row r="967" spans="1:6" ht="15.75">
      <c r="A967" s="250"/>
      <c r="B967" s="250"/>
      <c r="C967" s="250"/>
      <c r="D967" s="250"/>
      <c r="E967" s="250"/>
      <c r="F967" s="250"/>
    </row>
    <row r="968" spans="1:6" ht="15.75">
      <c r="A968" s="83" t="s">
        <v>348</v>
      </c>
      <c r="B968" s="705" t="s">
        <v>349</v>
      </c>
      <c r="C968" s="706"/>
      <c r="D968" s="706"/>
      <c r="E968" s="706"/>
      <c r="F968" s="707"/>
    </row>
    <row r="969" spans="1:6" ht="30">
      <c r="A969" s="58" t="s">
        <v>99</v>
      </c>
      <c r="B969" s="84" t="s">
        <v>72</v>
      </c>
      <c r="C969" s="75" t="s">
        <v>73</v>
      </c>
      <c r="D969" s="85" t="s">
        <v>74</v>
      </c>
      <c r="E969" s="86" t="s">
        <v>75</v>
      </c>
      <c r="F969" s="86" t="s">
        <v>76</v>
      </c>
    </row>
    <row r="970" spans="1:6" ht="15">
      <c r="A970" s="696" t="s">
        <v>83</v>
      </c>
      <c r="B970" s="697"/>
      <c r="C970" s="697"/>
      <c r="D970" s="697"/>
      <c r="E970" s="697"/>
      <c r="F970" s="698"/>
    </row>
    <row r="971" spans="1:6" ht="15">
      <c r="A971" s="87">
        <v>5318</v>
      </c>
      <c r="B971" s="78" t="s">
        <v>350</v>
      </c>
      <c r="C971" s="44" t="s">
        <v>351</v>
      </c>
      <c r="D971" s="64">
        <v>0.05</v>
      </c>
      <c r="E971" s="46">
        <v>10.86</v>
      </c>
      <c r="F971" s="46">
        <f>D971*E971</f>
        <v>0.543</v>
      </c>
    </row>
    <row r="972" spans="1:6" ht="15">
      <c r="A972" s="87">
        <v>7304</v>
      </c>
      <c r="B972" s="78" t="s">
        <v>352</v>
      </c>
      <c r="C972" s="44" t="s">
        <v>130</v>
      </c>
      <c r="D972" s="64">
        <v>0.5</v>
      </c>
      <c r="E972" s="46">
        <v>43.07</v>
      </c>
      <c r="F972" s="46">
        <f>D972*E972</f>
        <v>21.535</v>
      </c>
    </row>
    <row r="973" spans="1:6" ht="15">
      <c r="A973" s="696" t="s">
        <v>103</v>
      </c>
      <c r="B973" s="697"/>
      <c r="C973" s="697"/>
      <c r="D973" s="697"/>
      <c r="E973" s="697"/>
      <c r="F973" s="698"/>
    </row>
    <row r="974" spans="1:6" ht="15">
      <c r="A974" s="87">
        <v>88310</v>
      </c>
      <c r="B974" s="78" t="s">
        <v>326</v>
      </c>
      <c r="C974" s="44" t="s">
        <v>88</v>
      </c>
      <c r="D974" s="64">
        <v>0.4</v>
      </c>
      <c r="E974" s="46">
        <v>12.51</v>
      </c>
      <c r="F974" s="46">
        <f>D974*E974</f>
        <v>5.0040000000000004</v>
      </c>
    </row>
    <row r="975" spans="1:6" ht="15">
      <c r="A975" s="87">
        <v>88316</v>
      </c>
      <c r="B975" s="88" t="s">
        <v>95</v>
      </c>
      <c r="C975" s="44" t="s">
        <v>88</v>
      </c>
      <c r="D975" s="64">
        <v>0.35</v>
      </c>
      <c r="E975" s="46">
        <v>9.68</v>
      </c>
      <c r="F975" s="46">
        <f>D975*E975</f>
        <v>3.388</v>
      </c>
    </row>
    <row r="976" spans="1:6" ht="15">
      <c r="A976" s="699"/>
      <c r="B976" s="700"/>
      <c r="C976" s="700"/>
      <c r="D976" s="700"/>
      <c r="E976" s="700"/>
      <c r="F976" s="701"/>
    </row>
    <row r="977" spans="1:6" ht="15">
      <c r="A977" s="702" t="str">
        <f>"BDI ("&amp;$H$2&amp;"%)"</f>
        <v>BDI (%)</v>
      </c>
      <c r="B977" s="703"/>
      <c r="C977" s="44" t="s">
        <v>80</v>
      </c>
      <c r="D977" s="45">
        <f>$H$2</f>
        <v>0</v>
      </c>
      <c r="E977" s="46">
        <f>SUM(F971:F972,F974:F975)</f>
        <v>30.47</v>
      </c>
      <c r="F977" s="46">
        <f>D977*E977/100</f>
        <v>0</v>
      </c>
    </row>
    <row r="978" spans="1:6" ht="15.75">
      <c r="A978" s="704" t="s">
        <v>81</v>
      </c>
      <c r="B978" s="704"/>
      <c r="C978" s="48"/>
      <c r="D978" s="92"/>
      <c r="E978" s="50"/>
      <c r="F978" s="50">
        <f>E977+F977</f>
        <v>30.47</v>
      </c>
    </row>
    <row r="979" spans="1:6" ht="15.75">
      <c r="A979" s="250"/>
      <c r="B979" s="250"/>
      <c r="C979" s="250"/>
      <c r="D979" s="250"/>
      <c r="E979" s="250"/>
      <c r="F979" s="250"/>
    </row>
    <row r="980" spans="1:6" ht="15.75">
      <c r="A980" s="83" t="s">
        <v>69</v>
      </c>
      <c r="B980" s="705" t="s">
        <v>353</v>
      </c>
      <c r="C980" s="706"/>
      <c r="D980" s="706"/>
      <c r="E980" s="706"/>
      <c r="F980" s="707"/>
    </row>
    <row r="981" spans="1:6" ht="30">
      <c r="A981" s="58" t="s">
        <v>99</v>
      </c>
      <c r="B981" s="84" t="s">
        <v>72</v>
      </c>
      <c r="C981" s="75" t="s">
        <v>73</v>
      </c>
      <c r="D981" s="85" t="s">
        <v>74</v>
      </c>
      <c r="E981" s="86" t="s">
        <v>75</v>
      </c>
      <c r="F981" s="86" t="s">
        <v>76</v>
      </c>
    </row>
    <row r="982" spans="1:6" ht="15">
      <c r="A982" s="696" t="s">
        <v>83</v>
      </c>
      <c r="B982" s="697"/>
      <c r="C982" s="697"/>
      <c r="D982" s="697"/>
      <c r="E982" s="697"/>
      <c r="F982" s="698"/>
    </row>
    <row r="983" spans="1:6" ht="15">
      <c r="A983" s="87" t="s">
        <v>84</v>
      </c>
      <c r="B983" s="78" t="s">
        <v>354</v>
      </c>
      <c r="C983" s="44" t="s">
        <v>54</v>
      </c>
      <c r="D983" s="64">
        <v>0.12</v>
      </c>
      <c r="E983" s="46">
        <v>28.8</v>
      </c>
      <c r="F983" s="46">
        <f>D983*E983</f>
        <v>3.456</v>
      </c>
    </row>
    <row r="984" spans="1:6" ht="15">
      <c r="A984" s="87" t="s">
        <v>84</v>
      </c>
      <c r="B984" s="78" t="s">
        <v>355</v>
      </c>
      <c r="C984" s="44" t="s">
        <v>4</v>
      </c>
      <c r="D984" s="64">
        <v>1.1</v>
      </c>
      <c r="E984" s="46">
        <v>87.3</v>
      </c>
      <c r="F984" s="46">
        <f>D984*E984</f>
        <v>96.03</v>
      </c>
    </row>
    <row r="985" spans="1:6" ht="15">
      <c r="A985" s="696" t="s">
        <v>103</v>
      </c>
      <c r="B985" s="697"/>
      <c r="C985" s="697"/>
      <c r="D985" s="697"/>
      <c r="E985" s="697"/>
      <c r="F985" s="698"/>
    </row>
    <row r="986" spans="1:6" ht="15">
      <c r="A986" s="87">
        <v>88256</v>
      </c>
      <c r="B986" s="78" t="s">
        <v>356</v>
      </c>
      <c r="C986" s="44" t="s">
        <v>88</v>
      </c>
      <c r="D986" s="64">
        <v>0.5</v>
      </c>
      <c r="E986" s="46">
        <v>11.64</v>
      </c>
      <c r="F986" s="46">
        <f>D986*E986</f>
        <v>5.82</v>
      </c>
    </row>
    <row r="987" spans="1:6" ht="15">
      <c r="A987" s="87">
        <v>88316</v>
      </c>
      <c r="B987" s="88" t="s">
        <v>95</v>
      </c>
      <c r="C987" s="44" t="s">
        <v>88</v>
      </c>
      <c r="D987" s="64">
        <v>0.5</v>
      </c>
      <c r="E987" s="46">
        <v>9.68</v>
      </c>
      <c r="F987" s="46">
        <f>D987*E987</f>
        <v>4.84</v>
      </c>
    </row>
    <row r="988" spans="1:6" ht="15">
      <c r="A988" s="699"/>
      <c r="B988" s="700"/>
      <c r="C988" s="700"/>
      <c r="D988" s="700"/>
      <c r="E988" s="700"/>
      <c r="F988" s="701"/>
    </row>
    <row r="989" spans="1:6" ht="15">
      <c r="A989" s="702" t="str">
        <f>"BDI ("&amp;$H$2&amp;"%)"</f>
        <v>BDI (%)</v>
      </c>
      <c r="B989" s="703"/>
      <c r="C989" s="44" t="s">
        <v>80</v>
      </c>
      <c r="D989" s="45">
        <f>$H$2</f>
        <v>0</v>
      </c>
      <c r="E989" s="46">
        <f>SUM(F984,F986:F987)</f>
        <v>106.69</v>
      </c>
      <c r="F989" s="46">
        <f>D989*E989/100</f>
        <v>0</v>
      </c>
    </row>
    <row r="990" spans="1:6" ht="15.75">
      <c r="A990" s="704" t="s">
        <v>81</v>
      </c>
      <c r="B990" s="704"/>
      <c r="C990" s="48"/>
      <c r="D990" s="92"/>
      <c r="E990" s="50"/>
      <c r="F990" s="50">
        <f>E989+F989</f>
        <v>106.69</v>
      </c>
    </row>
    <row r="991" spans="1:6" ht="15">
      <c r="A991" s="81"/>
      <c r="B991" s="81"/>
      <c r="C991" s="81"/>
      <c r="D991" s="81"/>
      <c r="E991" s="81"/>
      <c r="F991" s="81"/>
    </row>
    <row r="993" spans="1:7" ht="36">
      <c r="A993" s="102" t="s">
        <v>357</v>
      </c>
      <c r="B993" s="687" t="s">
        <v>358</v>
      </c>
      <c r="C993" s="687"/>
      <c r="D993" s="687"/>
      <c r="E993" s="687"/>
      <c r="F993" s="687"/>
      <c r="G993" s="256"/>
    </row>
    <row r="994" spans="1:7" ht="36">
      <c r="A994" s="103" t="s">
        <v>99</v>
      </c>
      <c r="B994" s="105" t="s">
        <v>72</v>
      </c>
      <c r="C994" s="105" t="s">
        <v>73</v>
      </c>
      <c r="D994" s="106" t="s">
        <v>74</v>
      </c>
      <c r="E994" s="107" t="s">
        <v>75</v>
      </c>
      <c r="F994" s="107" t="s">
        <v>76</v>
      </c>
      <c r="G994" s="256"/>
    </row>
    <row r="995" spans="1:7" ht="18">
      <c r="A995" s="685" t="s">
        <v>83</v>
      </c>
      <c r="B995" s="685"/>
      <c r="C995" s="685"/>
      <c r="D995" s="685"/>
      <c r="E995" s="685"/>
      <c r="F995" s="685"/>
      <c r="G995" s="256"/>
    </row>
    <row r="996" spans="1:7" ht="36">
      <c r="A996" s="257">
        <v>2691</v>
      </c>
      <c r="B996" s="258" t="s">
        <v>359</v>
      </c>
      <c r="C996" s="259" t="s">
        <v>130</v>
      </c>
      <c r="D996" s="260">
        <v>1.2</v>
      </c>
      <c r="E996" s="112">
        <v>6.53</v>
      </c>
      <c r="F996" s="112">
        <f>D996*E996</f>
        <v>7.836</v>
      </c>
      <c r="G996" s="256"/>
    </row>
    <row r="997" spans="1:7" ht="18">
      <c r="A997" s="685" t="s">
        <v>103</v>
      </c>
      <c r="B997" s="685"/>
      <c r="C997" s="685"/>
      <c r="D997" s="685"/>
      <c r="E997" s="685"/>
      <c r="F997" s="685"/>
      <c r="G997" s="256"/>
    </row>
    <row r="998" spans="1:7" ht="18">
      <c r="A998" s="110">
        <v>88270</v>
      </c>
      <c r="B998" s="127" t="s">
        <v>184</v>
      </c>
      <c r="C998" s="110" t="s">
        <v>88</v>
      </c>
      <c r="D998" s="111">
        <v>0.4</v>
      </c>
      <c r="E998" s="112">
        <v>13</v>
      </c>
      <c r="F998" s="112">
        <f>D998*E998</f>
        <v>5.2</v>
      </c>
      <c r="G998" s="256"/>
    </row>
    <row r="999" spans="1:7" ht="18">
      <c r="A999" s="110">
        <v>88316</v>
      </c>
      <c r="B999" s="127" t="s">
        <v>95</v>
      </c>
      <c r="C999" s="110" t="s">
        <v>88</v>
      </c>
      <c r="D999" s="111">
        <v>0.4</v>
      </c>
      <c r="E999" s="112">
        <v>9.68</v>
      </c>
      <c r="F999" s="112">
        <f>D999*E999</f>
        <v>3.872</v>
      </c>
      <c r="G999" s="256"/>
    </row>
    <row r="1000" spans="1:7" ht="18">
      <c r="A1000" s="681"/>
      <c r="B1000" s="681"/>
      <c r="C1000" s="681"/>
      <c r="D1000" s="681"/>
      <c r="E1000" s="681"/>
      <c r="F1000" s="681"/>
      <c r="G1000" s="256"/>
    </row>
    <row r="1001" spans="1:7" ht="18">
      <c r="A1001" s="682" t="str">
        <f>"BDI ("&amp;$H$2&amp;"%)"</f>
        <v>BDI (%)</v>
      </c>
      <c r="B1001" s="682"/>
      <c r="C1001" s="110" t="s">
        <v>80</v>
      </c>
      <c r="D1001" s="113">
        <f>$H$2</f>
        <v>0</v>
      </c>
      <c r="E1001" s="112">
        <f>SUM(F996:F996,F998:F999)</f>
        <v>16.908</v>
      </c>
      <c r="F1001" s="112">
        <f>D1001*E1001/100</f>
        <v>0</v>
      </c>
      <c r="G1001" s="256"/>
    </row>
    <row r="1002" spans="1:7" ht="18">
      <c r="A1002" s="689" t="s">
        <v>81</v>
      </c>
      <c r="B1002" s="689"/>
      <c r="C1002" s="114"/>
      <c r="D1002" s="115"/>
      <c r="E1002" s="116"/>
      <c r="F1002" s="116">
        <f>E1001+F1001</f>
        <v>16.908</v>
      </c>
      <c r="G1002" s="256"/>
    </row>
    <row r="1003" spans="1:7" ht="18">
      <c r="A1003" s="120"/>
      <c r="B1003" s="120"/>
      <c r="C1003" s="114"/>
      <c r="D1003" s="115"/>
      <c r="E1003" s="116"/>
      <c r="F1003" s="116"/>
      <c r="G1003" s="256"/>
    </row>
    <row r="1004" spans="1:7" ht="36">
      <c r="A1004" s="261" t="s">
        <v>192</v>
      </c>
      <c r="B1004" s="694" t="s">
        <v>360</v>
      </c>
      <c r="C1004" s="694"/>
      <c r="D1004" s="694"/>
      <c r="E1004" s="694"/>
      <c r="F1004" s="694"/>
      <c r="G1004" s="262"/>
    </row>
    <row r="1005" spans="1:7" ht="36">
      <c r="A1005" s="263" t="s">
        <v>99</v>
      </c>
      <c r="B1005" s="169" t="s">
        <v>72</v>
      </c>
      <c r="C1005" s="169" t="s">
        <v>73</v>
      </c>
      <c r="D1005" s="264" t="s">
        <v>74</v>
      </c>
      <c r="E1005" s="265" t="s">
        <v>75</v>
      </c>
      <c r="F1005" s="265" t="s">
        <v>76</v>
      </c>
      <c r="G1005" s="184"/>
    </row>
    <row r="1006" spans="1:7" ht="18">
      <c r="A1006" s="694" t="s">
        <v>83</v>
      </c>
      <c r="B1006" s="694"/>
      <c r="C1006" s="694"/>
      <c r="D1006" s="694"/>
      <c r="E1006" s="694"/>
      <c r="F1006" s="694"/>
      <c r="G1006" s="184"/>
    </row>
    <row r="1007" spans="1:7" ht="18">
      <c r="A1007" s="166">
        <v>1379</v>
      </c>
      <c r="B1007" s="266" t="s">
        <v>90</v>
      </c>
      <c r="C1007" s="166" t="s">
        <v>54</v>
      </c>
      <c r="D1007" s="167">
        <v>355.04</v>
      </c>
      <c r="E1007" s="168">
        <v>0.56</v>
      </c>
      <c r="F1007" s="168">
        <f>D1007*E1007</f>
        <v>198.82240000000004</v>
      </c>
      <c r="G1007" s="184"/>
    </row>
    <row r="1008" spans="1:7" ht="18">
      <c r="A1008" s="166">
        <v>370</v>
      </c>
      <c r="B1008" s="266" t="s">
        <v>361</v>
      </c>
      <c r="C1008" s="166" t="s">
        <v>7</v>
      </c>
      <c r="D1008" s="167">
        <v>1.23</v>
      </c>
      <c r="E1008" s="168">
        <v>26</v>
      </c>
      <c r="F1008" s="168">
        <f>D1008*E1008</f>
        <v>31.98</v>
      </c>
      <c r="G1008" s="184"/>
    </row>
    <row r="1009" spans="1:7" ht="18">
      <c r="A1009" s="694" t="s">
        <v>103</v>
      </c>
      <c r="B1009" s="694"/>
      <c r="C1009" s="694"/>
      <c r="D1009" s="694"/>
      <c r="E1009" s="694"/>
      <c r="F1009" s="694"/>
      <c r="G1009" s="184"/>
    </row>
    <row r="1010" spans="1:7" ht="18">
      <c r="A1010" s="166">
        <v>88297</v>
      </c>
      <c r="B1010" s="267" t="s">
        <v>194</v>
      </c>
      <c r="C1010" s="166" t="s">
        <v>88</v>
      </c>
      <c r="D1010" s="167">
        <v>1.8336</v>
      </c>
      <c r="E1010" s="168">
        <v>17.01</v>
      </c>
      <c r="F1010" s="168">
        <f>D1010*E1010</f>
        <v>31.189536</v>
      </c>
      <c r="G1010" s="184"/>
    </row>
    <row r="1011" spans="1:7" ht="18">
      <c r="A1011" s="692" t="s">
        <v>81</v>
      </c>
      <c r="B1011" s="692"/>
      <c r="C1011" s="268"/>
      <c r="D1011" s="269"/>
      <c r="E1011" s="270"/>
      <c r="F1011" s="270">
        <f>SUM(F1007:F1008,F1010:F1010)</f>
        <v>261.991936</v>
      </c>
      <c r="G1011" s="184"/>
    </row>
    <row r="1012" spans="1:7" ht="18">
      <c r="A1012" s="120"/>
      <c r="B1012" s="120"/>
      <c r="C1012" s="114"/>
      <c r="D1012" s="115"/>
      <c r="E1012" s="116"/>
      <c r="F1012" s="116"/>
      <c r="G1012" s="256"/>
    </row>
    <row r="1013" spans="1:7" ht="18">
      <c r="A1013" s="271"/>
      <c r="B1013" s="271"/>
      <c r="C1013" s="271"/>
      <c r="D1013" s="271"/>
      <c r="E1013" s="271"/>
      <c r="F1013" s="271"/>
      <c r="G1013" s="256"/>
    </row>
    <row r="1014" spans="1:7" ht="18">
      <c r="A1014" s="261" t="s">
        <v>69</v>
      </c>
      <c r="B1014" s="693" t="s">
        <v>362</v>
      </c>
      <c r="C1014" s="693"/>
      <c r="D1014" s="693"/>
      <c r="E1014" s="693"/>
      <c r="F1014" s="693"/>
      <c r="G1014" s="184"/>
    </row>
    <row r="1015" spans="1:7" ht="36">
      <c r="A1015" s="166" t="s">
        <v>99</v>
      </c>
      <c r="B1015" s="169" t="s">
        <v>72</v>
      </c>
      <c r="C1015" s="169" t="s">
        <v>73</v>
      </c>
      <c r="D1015" s="264" t="s">
        <v>74</v>
      </c>
      <c r="E1015" s="265" t="s">
        <v>75</v>
      </c>
      <c r="F1015" s="265" t="s">
        <v>76</v>
      </c>
      <c r="G1015" s="184"/>
    </row>
    <row r="1016" spans="1:7" ht="18">
      <c r="A1016" s="694" t="s">
        <v>83</v>
      </c>
      <c r="B1016" s="694"/>
      <c r="C1016" s="694"/>
      <c r="D1016" s="694"/>
      <c r="E1016" s="694"/>
      <c r="F1016" s="694"/>
      <c r="G1016" s="184"/>
    </row>
    <row r="1017" spans="1:7" ht="18">
      <c r="A1017" s="272" t="s">
        <v>84</v>
      </c>
      <c r="B1017" s="273" t="s">
        <v>363</v>
      </c>
      <c r="C1017" s="274" t="s">
        <v>91</v>
      </c>
      <c r="D1017" s="275">
        <v>6</v>
      </c>
      <c r="E1017" s="168">
        <v>0.46</v>
      </c>
      <c r="F1017" s="168">
        <f>D1017*E1017</f>
        <v>2.7600000000000002</v>
      </c>
      <c r="G1017" s="184"/>
    </row>
    <row r="1018" spans="1:7" ht="72">
      <c r="A1018" s="272" t="s">
        <v>84</v>
      </c>
      <c r="B1018" s="273" t="s">
        <v>364</v>
      </c>
      <c r="C1018" s="274" t="s">
        <v>26</v>
      </c>
      <c r="D1018" s="275">
        <v>1</v>
      </c>
      <c r="E1018" s="168">
        <v>797.19</v>
      </c>
      <c r="F1018" s="168">
        <f>D1018*E1018</f>
        <v>797.19</v>
      </c>
      <c r="G1018" s="184"/>
    </row>
    <row r="1019" spans="1:7" ht="18">
      <c r="A1019" s="694" t="s">
        <v>103</v>
      </c>
      <c r="B1019" s="694"/>
      <c r="C1019" s="694"/>
      <c r="D1019" s="694"/>
      <c r="E1019" s="694"/>
      <c r="F1019" s="694"/>
      <c r="G1019" s="184"/>
    </row>
    <row r="1020" spans="1:7" ht="18">
      <c r="A1020" s="166">
        <v>88309</v>
      </c>
      <c r="B1020" s="267" t="s">
        <v>94</v>
      </c>
      <c r="C1020" s="166" t="s">
        <v>88</v>
      </c>
      <c r="D1020" s="276">
        <v>1</v>
      </c>
      <c r="E1020" s="168">
        <v>12.51</v>
      </c>
      <c r="F1020" s="168">
        <f>D1020*E1020</f>
        <v>12.51</v>
      </c>
      <c r="G1020" s="184"/>
    </row>
    <row r="1021" spans="1:7" ht="18">
      <c r="A1021" s="166">
        <v>88316</v>
      </c>
      <c r="B1021" s="266" t="s">
        <v>95</v>
      </c>
      <c r="C1021" s="166" t="s">
        <v>88</v>
      </c>
      <c r="D1021" s="276">
        <v>1</v>
      </c>
      <c r="E1021" s="168">
        <v>9.68</v>
      </c>
      <c r="F1021" s="168">
        <f>D1021*E1021</f>
        <v>9.68</v>
      </c>
      <c r="G1021" s="184"/>
    </row>
    <row r="1022" spans="1:7" ht="18">
      <c r="A1022" s="695"/>
      <c r="B1022" s="695"/>
      <c r="C1022" s="695"/>
      <c r="D1022" s="695"/>
      <c r="E1022" s="695"/>
      <c r="F1022" s="695"/>
      <c r="G1022" s="184"/>
    </row>
    <row r="1023" spans="1:7" ht="18">
      <c r="A1023" s="691" t="str">
        <f>"BDI ("&amp;$H$2&amp;"%)"</f>
        <v>BDI (%)</v>
      </c>
      <c r="B1023" s="691"/>
      <c r="C1023" s="166" t="s">
        <v>80</v>
      </c>
      <c r="D1023" s="277">
        <f>$H$2</f>
        <v>0</v>
      </c>
      <c r="E1023" s="168">
        <f>SUM(F1017:F1018,F1020:F1021)</f>
        <v>822.14</v>
      </c>
      <c r="F1023" s="168">
        <f>D1023*E1023/100</f>
        <v>0</v>
      </c>
      <c r="G1023" s="184"/>
    </row>
    <row r="1024" spans="1:7" ht="18">
      <c r="A1024" s="692" t="s">
        <v>81</v>
      </c>
      <c r="B1024" s="692"/>
      <c r="C1024" s="268"/>
      <c r="D1024" s="269"/>
      <c r="E1024" s="270"/>
      <c r="F1024" s="270">
        <f>E1023+F1023</f>
        <v>822.14</v>
      </c>
      <c r="G1024" s="184"/>
    </row>
    <row r="1025" spans="1:7" ht="18">
      <c r="A1025" s="278"/>
      <c r="B1025" s="278"/>
      <c r="C1025" s="268"/>
      <c r="D1025" s="269"/>
      <c r="E1025" s="270"/>
      <c r="F1025" s="270"/>
      <c r="G1025" s="184"/>
    </row>
    <row r="1026" spans="1:7" ht="36">
      <c r="A1026" s="102" t="s">
        <v>365</v>
      </c>
      <c r="B1026" s="687" t="s">
        <v>366</v>
      </c>
      <c r="C1026" s="687"/>
      <c r="D1026" s="687"/>
      <c r="E1026" s="687"/>
      <c r="F1026" s="687"/>
      <c r="G1026" s="184"/>
    </row>
    <row r="1027" spans="1:7" ht="36">
      <c r="A1027" s="103" t="s">
        <v>99</v>
      </c>
      <c r="B1027" s="105" t="s">
        <v>72</v>
      </c>
      <c r="C1027" s="105" t="s">
        <v>73</v>
      </c>
      <c r="D1027" s="106" t="s">
        <v>74</v>
      </c>
      <c r="E1027" s="107" t="s">
        <v>75</v>
      </c>
      <c r="F1027" s="107" t="s">
        <v>76</v>
      </c>
      <c r="G1027" s="184"/>
    </row>
    <row r="1028" spans="1:7" ht="18">
      <c r="A1028" s="685" t="s">
        <v>83</v>
      </c>
      <c r="B1028" s="685"/>
      <c r="C1028" s="685"/>
      <c r="D1028" s="685"/>
      <c r="E1028" s="685"/>
      <c r="F1028" s="685"/>
      <c r="G1028" s="184"/>
    </row>
    <row r="1029" spans="1:7" ht="18">
      <c r="A1029" s="126">
        <v>370</v>
      </c>
      <c r="B1029" s="127" t="s">
        <v>100</v>
      </c>
      <c r="C1029" s="110" t="s">
        <v>7</v>
      </c>
      <c r="D1029" s="111">
        <v>0.8904</v>
      </c>
      <c r="E1029" s="112">
        <v>26</v>
      </c>
      <c r="F1029" s="112">
        <f>D1029*E1029</f>
        <v>23.150399999999998</v>
      </c>
      <c r="G1029" s="184"/>
    </row>
    <row r="1030" spans="1:7" ht="18">
      <c r="A1030" s="110">
        <v>1379</v>
      </c>
      <c r="B1030" s="127" t="s">
        <v>90</v>
      </c>
      <c r="C1030" s="110" t="s">
        <v>54</v>
      </c>
      <c r="D1030" s="111">
        <v>320</v>
      </c>
      <c r="E1030" s="112">
        <v>0.56</v>
      </c>
      <c r="F1030" s="112">
        <f>ROUNDUP((D1030*E1030),2)</f>
        <v>179.2</v>
      </c>
      <c r="G1030" s="184"/>
    </row>
    <row r="1031" spans="1:7" ht="36">
      <c r="A1031" s="126">
        <v>4721</v>
      </c>
      <c r="B1031" s="127" t="s">
        <v>112</v>
      </c>
      <c r="C1031" s="110" t="s">
        <v>7</v>
      </c>
      <c r="D1031" s="111">
        <v>0.836</v>
      </c>
      <c r="E1031" s="112">
        <v>66.5</v>
      </c>
      <c r="F1031" s="112">
        <f>ROUNDUP((D1031*E1031),2)</f>
        <v>55.6</v>
      </c>
      <c r="G1031" s="184"/>
    </row>
    <row r="1032" spans="1:7" ht="18">
      <c r="A1032" s="685" t="s">
        <v>102</v>
      </c>
      <c r="B1032" s="685"/>
      <c r="C1032" s="685"/>
      <c r="D1032" s="685"/>
      <c r="E1032" s="685"/>
      <c r="F1032" s="685"/>
      <c r="G1032" s="184"/>
    </row>
    <row r="1033" spans="1:7" ht="54">
      <c r="A1033" s="110">
        <v>10533</v>
      </c>
      <c r="B1033" s="127" t="s">
        <v>113</v>
      </c>
      <c r="C1033" s="110" t="s">
        <v>88</v>
      </c>
      <c r="D1033" s="111">
        <v>1.8336</v>
      </c>
      <c r="E1033" s="112">
        <v>2.7</v>
      </c>
      <c r="F1033" s="112">
        <f>ROUNDUP((D1033*E1033),2)</f>
        <v>4.96</v>
      </c>
      <c r="G1033" s="184"/>
    </row>
    <row r="1034" spans="1:7" ht="18">
      <c r="A1034" s="685" t="s">
        <v>103</v>
      </c>
      <c r="B1034" s="685"/>
      <c r="C1034" s="685"/>
      <c r="D1034" s="685"/>
      <c r="E1034" s="685"/>
      <c r="F1034" s="685"/>
      <c r="G1034" s="184"/>
    </row>
    <row r="1035" spans="1:7" ht="36">
      <c r="A1035" s="110">
        <v>88297</v>
      </c>
      <c r="B1035" s="127" t="s">
        <v>114</v>
      </c>
      <c r="C1035" s="137" t="s">
        <v>88</v>
      </c>
      <c r="D1035" s="138">
        <v>1.8336</v>
      </c>
      <c r="E1035" s="140">
        <v>17.01</v>
      </c>
      <c r="F1035" s="112">
        <f>D1035*E1035</f>
        <v>31.189536</v>
      </c>
      <c r="G1035" s="184"/>
    </row>
    <row r="1036" spans="1:7" ht="18">
      <c r="A1036" s="110">
        <v>88316</v>
      </c>
      <c r="B1036" s="127" t="s">
        <v>95</v>
      </c>
      <c r="C1036" s="137" t="s">
        <v>88</v>
      </c>
      <c r="D1036" s="138">
        <v>3.2378</v>
      </c>
      <c r="E1036" s="140">
        <v>9.68</v>
      </c>
      <c r="F1036" s="112">
        <f>ROUNDUP((D1036*E1036),2)</f>
        <v>31.35</v>
      </c>
      <c r="G1036" s="184"/>
    </row>
    <row r="1037" spans="1:7" ht="18">
      <c r="A1037" s="681"/>
      <c r="B1037" s="681"/>
      <c r="C1037" s="681"/>
      <c r="D1037" s="681"/>
      <c r="E1037" s="681"/>
      <c r="F1037" s="681"/>
      <c r="G1037" s="184"/>
    </row>
    <row r="1038" spans="1:7" ht="18">
      <c r="A1038" s="689" t="s">
        <v>81</v>
      </c>
      <c r="B1038" s="689"/>
      <c r="C1038" s="114"/>
      <c r="D1038" s="115"/>
      <c r="E1038" s="116"/>
      <c r="F1038" s="116">
        <f>SUM(F1029:F1031,F1033,F1035:F1036)</f>
        <v>325.449936</v>
      </c>
      <c r="G1038" s="184"/>
    </row>
    <row r="1039" spans="1:7" ht="18">
      <c r="A1039" s="271"/>
      <c r="B1039" s="271"/>
      <c r="C1039" s="271"/>
      <c r="D1039" s="271"/>
      <c r="E1039" s="271"/>
      <c r="F1039" s="271"/>
      <c r="G1039" s="256"/>
    </row>
    <row r="1040" spans="1:7" ht="36">
      <c r="A1040" s="261" t="s">
        <v>367</v>
      </c>
      <c r="B1040" s="693" t="s">
        <v>368</v>
      </c>
      <c r="C1040" s="693"/>
      <c r="D1040" s="693"/>
      <c r="E1040" s="693"/>
      <c r="F1040" s="693"/>
      <c r="G1040" s="184"/>
    </row>
    <row r="1041" spans="1:7" ht="36">
      <c r="A1041" s="263" t="s">
        <v>99</v>
      </c>
      <c r="B1041" s="169" t="s">
        <v>72</v>
      </c>
      <c r="C1041" s="169" t="s">
        <v>73</v>
      </c>
      <c r="D1041" s="264" t="s">
        <v>74</v>
      </c>
      <c r="E1041" s="265" t="s">
        <v>75</v>
      </c>
      <c r="F1041" s="265" t="s">
        <v>76</v>
      </c>
      <c r="G1041" s="184"/>
    </row>
    <row r="1042" spans="1:7" ht="18">
      <c r="A1042" s="694" t="s">
        <v>83</v>
      </c>
      <c r="B1042" s="694"/>
      <c r="C1042" s="694"/>
      <c r="D1042" s="694"/>
      <c r="E1042" s="694"/>
      <c r="F1042" s="694"/>
      <c r="G1042" s="184"/>
    </row>
    <row r="1043" spans="1:7" ht="18">
      <c r="A1043" s="272">
        <v>73372</v>
      </c>
      <c r="B1043" s="279" t="s">
        <v>369</v>
      </c>
      <c r="C1043" s="274" t="s">
        <v>4</v>
      </c>
      <c r="D1043" s="275">
        <v>0.048</v>
      </c>
      <c r="E1043" s="168">
        <v>23.39</v>
      </c>
      <c r="F1043" s="168">
        <f>D1043*E1043</f>
        <v>1.12272</v>
      </c>
      <c r="G1043" s="184"/>
    </row>
    <row r="1044" spans="1:7" ht="30">
      <c r="A1044" s="272" t="s">
        <v>370</v>
      </c>
      <c r="B1044" s="279" t="s">
        <v>371</v>
      </c>
      <c r="C1044" s="274" t="s">
        <v>7</v>
      </c>
      <c r="D1044" s="275">
        <v>0.018</v>
      </c>
      <c r="E1044" s="168">
        <f>F1038</f>
        <v>325.449936</v>
      </c>
      <c r="F1044" s="168">
        <f aca="true" t="shared" si="13" ref="F1044:F1049">D1044*E1044</f>
        <v>5.858098847999999</v>
      </c>
      <c r="G1044" s="184"/>
    </row>
    <row r="1045" spans="1:7" ht="18">
      <c r="A1045" s="272">
        <v>342</v>
      </c>
      <c r="B1045" s="279" t="s">
        <v>372</v>
      </c>
      <c r="C1045" s="274" t="s">
        <v>162</v>
      </c>
      <c r="D1045" s="275">
        <v>0.032</v>
      </c>
      <c r="E1045" s="168">
        <v>10.01</v>
      </c>
      <c r="F1045" s="168">
        <f t="shared" si="13"/>
        <v>0.32032</v>
      </c>
      <c r="G1045" s="184"/>
    </row>
    <row r="1046" spans="1:7" ht="18">
      <c r="A1046" s="272">
        <v>5075</v>
      </c>
      <c r="B1046" s="279" t="s">
        <v>373</v>
      </c>
      <c r="C1046" s="274" t="s">
        <v>162</v>
      </c>
      <c r="D1046" s="275">
        <v>0.04</v>
      </c>
      <c r="E1046" s="168">
        <v>7.13</v>
      </c>
      <c r="F1046" s="168">
        <f t="shared" si="13"/>
        <v>0.2852</v>
      </c>
      <c r="G1046" s="184"/>
    </row>
    <row r="1047" spans="1:7" ht="18">
      <c r="A1047" s="272">
        <v>6298</v>
      </c>
      <c r="B1047" s="279" t="s">
        <v>374</v>
      </c>
      <c r="C1047" s="274" t="s">
        <v>375</v>
      </c>
      <c r="D1047" s="275">
        <v>0.4</v>
      </c>
      <c r="E1047" s="168">
        <v>32.86</v>
      </c>
      <c r="F1047" s="168">
        <f t="shared" si="13"/>
        <v>13.144</v>
      </c>
      <c r="G1047" s="184"/>
    </row>
    <row r="1048" spans="1:7" ht="45">
      <c r="A1048" s="272">
        <v>7696</v>
      </c>
      <c r="B1048" s="279" t="s">
        <v>376</v>
      </c>
      <c r="C1048" s="274" t="s">
        <v>63</v>
      </c>
      <c r="D1048" s="275">
        <v>0.72</v>
      </c>
      <c r="E1048" s="168">
        <v>34.62</v>
      </c>
      <c r="F1048" s="168">
        <f t="shared" si="13"/>
        <v>24.926399999999997</v>
      </c>
      <c r="G1048" s="184"/>
    </row>
    <row r="1049" spans="1:7" ht="54">
      <c r="A1049" s="272">
        <v>10935</v>
      </c>
      <c r="B1049" s="273" t="s">
        <v>377</v>
      </c>
      <c r="C1049" s="274" t="s">
        <v>378</v>
      </c>
      <c r="D1049" s="275">
        <v>1.1</v>
      </c>
      <c r="E1049" s="168">
        <v>20.44</v>
      </c>
      <c r="F1049" s="168">
        <f t="shared" si="13"/>
        <v>22.484</v>
      </c>
      <c r="G1049" s="184"/>
    </row>
    <row r="1050" spans="1:7" ht="18">
      <c r="A1050" s="694" t="s">
        <v>103</v>
      </c>
      <c r="B1050" s="694"/>
      <c r="C1050" s="694"/>
      <c r="D1050" s="694"/>
      <c r="E1050" s="694"/>
      <c r="F1050" s="694"/>
      <c r="G1050" s="184"/>
    </row>
    <row r="1051" spans="1:7" ht="18">
      <c r="A1051" s="280">
        <v>88238</v>
      </c>
      <c r="B1051" s="281" t="s">
        <v>379</v>
      </c>
      <c r="C1051" s="280" t="s">
        <v>380</v>
      </c>
      <c r="D1051" s="282">
        <v>1</v>
      </c>
      <c r="E1051" s="283">
        <v>10.13</v>
      </c>
      <c r="F1051" s="283">
        <f>D1051*E1051</f>
        <v>10.13</v>
      </c>
      <c r="G1051" s="184"/>
    </row>
    <row r="1052" spans="1:7" ht="30">
      <c r="A1052" s="280">
        <v>88261</v>
      </c>
      <c r="B1052" s="284" t="s">
        <v>381</v>
      </c>
      <c r="C1052" s="280" t="s">
        <v>380</v>
      </c>
      <c r="D1052" s="282">
        <v>1</v>
      </c>
      <c r="E1052" s="283">
        <v>12.37</v>
      </c>
      <c r="F1052" s="283">
        <f aca="true" t="shared" si="14" ref="F1052:F1055">D1052*E1052</f>
        <v>12.37</v>
      </c>
      <c r="G1052" s="184"/>
    </row>
    <row r="1053" spans="1:7" ht="30">
      <c r="A1053" s="280">
        <v>88277</v>
      </c>
      <c r="B1053" s="284" t="s">
        <v>382</v>
      </c>
      <c r="C1053" s="280" t="s">
        <v>380</v>
      </c>
      <c r="D1053" s="282">
        <v>0.5</v>
      </c>
      <c r="E1053" s="283">
        <v>15.6</v>
      </c>
      <c r="F1053" s="283">
        <f t="shared" si="14"/>
        <v>7.8</v>
      </c>
      <c r="G1053" s="184"/>
    </row>
    <row r="1054" spans="1:7" ht="18">
      <c r="A1054" s="280">
        <v>88309</v>
      </c>
      <c r="B1054" s="284" t="s">
        <v>224</v>
      </c>
      <c r="C1054" s="280" t="s">
        <v>380</v>
      </c>
      <c r="D1054" s="282">
        <v>1</v>
      </c>
      <c r="E1054" s="283">
        <v>12.51</v>
      </c>
      <c r="F1054" s="283">
        <f t="shared" si="14"/>
        <v>12.51</v>
      </c>
      <c r="G1054" s="184"/>
    </row>
    <row r="1055" spans="1:7" ht="18">
      <c r="A1055" s="280">
        <v>88316</v>
      </c>
      <c r="B1055" s="284" t="s">
        <v>106</v>
      </c>
      <c r="C1055" s="280" t="s">
        <v>380</v>
      </c>
      <c r="D1055" s="282">
        <v>2.38</v>
      </c>
      <c r="E1055" s="283">
        <v>9.68</v>
      </c>
      <c r="F1055" s="283">
        <f t="shared" si="14"/>
        <v>23.0384</v>
      </c>
      <c r="G1055" s="184"/>
    </row>
    <row r="1056" spans="1:7" ht="18">
      <c r="A1056" s="690"/>
      <c r="B1056" s="690"/>
      <c r="C1056" s="690"/>
      <c r="D1056" s="690"/>
      <c r="E1056" s="690"/>
      <c r="F1056" s="690"/>
      <c r="G1056" s="184"/>
    </row>
    <row r="1057" spans="1:7" ht="18">
      <c r="A1057" s="691" t="str">
        <f>"BDI ("&amp;$H$2&amp;"%)"</f>
        <v>BDI (%)</v>
      </c>
      <c r="B1057" s="691"/>
      <c r="C1057" s="166" t="s">
        <v>80</v>
      </c>
      <c r="D1057" s="277">
        <f>$H$2</f>
        <v>0</v>
      </c>
      <c r="E1057" s="168">
        <f>SUM(F1043:F1049,F1051:F1055)</f>
        <v>133.989138848</v>
      </c>
      <c r="F1057" s="168">
        <f>D1057*E1057/100</f>
        <v>0</v>
      </c>
      <c r="G1057" s="184"/>
    </row>
    <row r="1058" spans="1:7" ht="18">
      <c r="A1058" s="692" t="s">
        <v>81</v>
      </c>
      <c r="B1058" s="692"/>
      <c r="C1058" s="268"/>
      <c r="D1058" s="269"/>
      <c r="E1058" s="270"/>
      <c r="F1058" s="270">
        <f>E1057+F1057</f>
        <v>133.989138848</v>
      </c>
      <c r="G1058" s="184"/>
    </row>
    <row r="1059" spans="1:7" ht="18">
      <c r="A1059" s="271"/>
      <c r="B1059" s="271"/>
      <c r="C1059" s="271"/>
      <c r="D1059" s="271"/>
      <c r="E1059" s="271"/>
      <c r="F1059" s="271"/>
      <c r="G1059" s="256"/>
    </row>
    <row r="1060" spans="1:7" ht="36">
      <c r="A1060" s="165" t="s">
        <v>383</v>
      </c>
      <c r="B1060" s="687" t="s">
        <v>384</v>
      </c>
      <c r="C1060" s="687"/>
      <c r="D1060" s="687"/>
      <c r="E1060" s="687"/>
      <c r="F1060" s="687"/>
      <c r="G1060" s="256"/>
    </row>
    <row r="1061" spans="1:7" ht="36">
      <c r="A1061" s="103" t="s">
        <v>99</v>
      </c>
      <c r="B1061" s="105" t="s">
        <v>72</v>
      </c>
      <c r="C1061" s="105" t="s">
        <v>73</v>
      </c>
      <c r="D1061" s="106" t="s">
        <v>74</v>
      </c>
      <c r="E1061" s="107" t="s">
        <v>75</v>
      </c>
      <c r="F1061" s="107" t="s">
        <v>76</v>
      </c>
      <c r="G1061" s="256"/>
    </row>
    <row r="1062" spans="1:7" ht="18">
      <c r="A1062" s="685" t="s">
        <v>83</v>
      </c>
      <c r="B1062" s="685"/>
      <c r="C1062" s="685"/>
      <c r="D1062" s="685"/>
      <c r="E1062" s="685"/>
      <c r="F1062" s="685"/>
      <c r="G1062" s="256"/>
    </row>
    <row r="1063" spans="1:7" ht="18">
      <c r="A1063" s="110">
        <v>3</v>
      </c>
      <c r="B1063" s="127" t="s">
        <v>385</v>
      </c>
      <c r="C1063" s="110" t="s">
        <v>130</v>
      </c>
      <c r="D1063" s="111">
        <v>0.05</v>
      </c>
      <c r="E1063" s="112">
        <v>2.19</v>
      </c>
      <c r="F1063" s="112">
        <f>D1063*E1063</f>
        <v>0.1095</v>
      </c>
      <c r="G1063" s="256"/>
    </row>
    <row r="1064" spans="1:7" ht="18">
      <c r="A1064" s="685" t="s">
        <v>103</v>
      </c>
      <c r="B1064" s="685"/>
      <c r="C1064" s="685"/>
      <c r="D1064" s="685"/>
      <c r="E1064" s="685"/>
      <c r="F1064" s="685"/>
      <c r="G1064" s="256"/>
    </row>
    <row r="1065" spans="1:7" ht="18">
      <c r="A1065" s="110">
        <v>88316</v>
      </c>
      <c r="B1065" s="127" t="s">
        <v>95</v>
      </c>
      <c r="C1065" s="110" t="s">
        <v>88</v>
      </c>
      <c r="D1065" s="111">
        <v>0.14</v>
      </c>
      <c r="E1065" s="112">
        <v>9.68</v>
      </c>
      <c r="F1065" s="112">
        <f>D1065*E1065</f>
        <v>1.3552000000000002</v>
      </c>
      <c r="G1065" s="256"/>
    </row>
    <row r="1066" spans="1:7" ht="18">
      <c r="A1066" s="681"/>
      <c r="B1066" s="681"/>
      <c r="C1066" s="681"/>
      <c r="D1066" s="681"/>
      <c r="E1066" s="681"/>
      <c r="F1066" s="681"/>
      <c r="G1066" s="256"/>
    </row>
    <row r="1067" spans="1:7" ht="18">
      <c r="A1067" s="682" t="str">
        <f>"BDI ("&amp;$H$2&amp;"%)"</f>
        <v>BDI (%)</v>
      </c>
      <c r="B1067" s="682"/>
      <c r="C1067" s="110" t="s">
        <v>80</v>
      </c>
      <c r="D1067" s="113">
        <f>$H$2</f>
        <v>0</v>
      </c>
      <c r="E1067" s="112">
        <f>SUM(F1063:F1063,F1065:F1065)</f>
        <v>1.4647000000000001</v>
      </c>
      <c r="F1067" s="112">
        <f>D1067*E1067/100</f>
        <v>0</v>
      </c>
      <c r="G1067" s="256"/>
    </row>
    <row r="1068" spans="1:7" ht="18">
      <c r="A1068" s="689" t="s">
        <v>81</v>
      </c>
      <c r="B1068" s="689"/>
      <c r="C1068" s="114"/>
      <c r="D1068" s="115"/>
      <c r="E1068" s="116"/>
      <c r="F1068" s="116">
        <f>E1067+F1067</f>
        <v>1.4647000000000001</v>
      </c>
      <c r="G1068" s="256"/>
    </row>
    <row r="1069" spans="1:7" ht="18">
      <c r="A1069" s="120"/>
      <c r="B1069" s="120"/>
      <c r="C1069" s="114"/>
      <c r="D1069" s="115"/>
      <c r="E1069" s="116"/>
      <c r="F1069" s="116"/>
      <c r="G1069" s="256"/>
    </row>
    <row r="1070" spans="1:7" ht="36">
      <c r="A1070" s="102" t="s">
        <v>205</v>
      </c>
      <c r="B1070" s="687" t="s">
        <v>386</v>
      </c>
      <c r="C1070" s="687"/>
      <c r="D1070" s="687"/>
      <c r="E1070" s="687"/>
      <c r="F1070" s="687"/>
      <c r="G1070" s="184"/>
    </row>
    <row r="1071" spans="1:7" ht="36">
      <c r="A1071" s="103" t="s">
        <v>99</v>
      </c>
      <c r="B1071" s="105" t="s">
        <v>72</v>
      </c>
      <c r="C1071" s="105" t="s">
        <v>73</v>
      </c>
      <c r="D1071" s="106" t="s">
        <v>74</v>
      </c>
      <c r="E1071" s="107" t="s">
        <v>75</v>
      </c>
      <c r="F1071" s="107" t="s">
        <v>76</v>
      </c>
      <c r="G1071" s="184"/>
    </row>
    <row r="1072" spans="1:7" ht="18">
      <c r="A1072" s="685" t="s">
        <v>83</v>
      </c>
      <c r="B1072" s="685"/>
      <c r="C1072" s="685"/>
      <c r="D1072" s="685"/>
      <c r="E1072" s="685"/>
      <c r="F1072" s="685"/>
      <c r="G1072" s="184"/>
    </row>
    <row r="1073" spans="1:7" ht="18">
      <c r="A1073" s="126">
        <v>1379</v>
      </c>
      <c r="B1073" s="127" t="s">
        <v>90</v>
      </c>
      <c r="C1073" s="110" t="s">
        <v>54</v>
      </c>
      <c r="D1073" s="111">
        <v>441.51</v>
      </c>
      <c r="E1073" s="112">
        <v>0.56</v>
      </c>
      <c r="F1073" s="112">
        <f>D1073*E1073</f>
        <v>247.24560000000002</v>
      </c>
      <c r="G1073" s="184"/>
    </row>
    <row r="1074" spans="1:7" ht="18">
      <c r="A1074" s="126">
        <v>370</v>
      </c>
      <c r="B1074" s="127" t="s">
        <v>100</v>
      </c>
      <c r="C1074" s="110" t="s">
        <v>7</v>
      </c>
      <c r="D1074" s="143">
        <v>1.15</v>
      </c>
      <c r="E1074" s="112">
        <v>26</v>
      </c>
      <c r="F1074" s="112">
        <f>D1074*E1074</f>
        <v>29.9</v>
      </c>
      <c r="G1074" s="184"/>
    </row>
    <row r="1075" spans="1:7" ht="18">
      <c r="A1075" s="685" t="s">
        <v>103</v>
      </c>
      <c r="B1075" s="685"/>
      <c r="C1075" s="685"/>
      <c r="D1075" s="685"/>
      <c r="E1075" s="685"/>
      <c r="F1075" s="685"/>
      <c r="G1075" s="184"/>
    </row>
    <row r="1076" spans="1:7" ht="18">
      <c r="A1076" s="110">
        <v>88297</v>
      </c>
      <c r="B1076" s="146" t="s">
        <v>194</v>
      </c>
      <c r="C1076" s="110" t="s">
        <v>88</v>
      </c>
      <c r="D1076" s="143">
        <v>8.48</v>
      </c>
      <c r="E1076" s="112">
        <v>17.01</v>
      </c>
      <c r="F1076" s="112">
        <f>D1076*E1076</f>
        <v>144.24480000000003</v>
      </c>
      <c r="G1076" s="184"/>
    </row>
    <row r="1077" spans="1:7" ht="18">
      <c r="A1077" s="689" t="s">
        <v>81</v>
      </c>
      <c r="B1077" s="689"/>
      <c r="C1077" s="114"/>
      <c r="D1077" s="115"/>
      <c r="E1077" s="116"/>
      <c r="F1077" s="116">
        <f>SUM(F1073:F1074,F1076:F1076)</f>
        <v>421.3904</v>
      </c>
      <c r="G1077" s="184"/>
    </row>
    <row r="1078" spans="1:7" ht="18">
      <c r="A1078" s="271"/>
      <c r="B1078" s="271"/>
      <c r="C1078" s="271"/>
      <c r="D1078" s="271"/>
      <c r="E1078" s="271"/>
      <c r="F1078" s="271"/>
      <c r="G1078" s="256"/>
    </row>
    <row r="1079" spans="1:7" ht="18">
      <c r="A1079" s="102" t="s">
        <v>69</v>
      </c>
      <c r="B1079" s="687" t="s">
        <v>387</v>
      </c>
      <c r="C1079" s="687"/>
      <c r="D1079" s="687"/>
      <c r="E1079" s="687"/>
      <c r="F1079" s="687"/>
      <c r="G1079" s="256"/>
    </row>
    <row r="1080" spans="1:7" ht="36">
      <c r="A1080" s="103" t="s">
        <v>99</v>
      </c>
      <c r="B1080" s="105" t="s">
        <v>72</v>
      </c>
      <c r="C1080" s="105" t="s">
        <v>73</v>
      </c>
      <c r="D1080" s="106" t="s">
        <v>74</v>
      </c>
      <c r="E1080" s="107" t="s">
        <v>75</v>
      </c>
      <c r="F1080" s="107" t="s">
        <v>76</v>
      </c>
      <c r="G1080" s="256"/>
    </row>
    <row r="1081" spans="1:7" ht="18">
      <c r="A1081" s="685" t="s">
        <v>83</v>
      </c>
      <c r="B1081" s="685"/>
      <c r="C1081" s="685"/>
      <c r="D1081" s="685"/>
      <c r="E1081" s="685"/>
      <c r="F1081" s="685"/>
      <c r="G1081" s="256"/>
    </row>
    <row r="1082" spans="1:7" ht="18">
      <c r="A1082" s="285" t="s">
        <v>84</v>
      </c>
      <c r="B1082" s="286" t="s">
        <v>388</v>
      </c>
      <c r="C1082" s="287" t="s">
        <v>4</v>
      </c>
      <c r="D1082" s="288">
        <v>1</v>
      </c>
      <c r="E1082" s="289">
        <v>370.95</v>
      </c>
      <c r="F1082" s="289">
        <f>D1082*E1082</f>
        <v>370.95</v>
      </c>
      <c r="G1082" s="290"/>
    </row>
    <row r="1083" spans="1:7" ht="36">
      <c r="A1083" s="257">
        <v>88629</v>
      </c>
      <c r="B1083" s="258" t="s">
        <v>389</v>
      </c>
      <c r="C1083" s="259" t="s">
        <v>7</v>
      </c>
      <c r="D1083" s="260">
        <v>0.0033</v>
      </c>
      <c r="E1083" s="112">
        <f>F1077</f>
        <v>421.3904</v>
      </c>
      <c r="F1083" s="112">
        <f>D1083*E1083</f>
        <v>1.39058832</v>
      </c>
      <c r="G1083" s="256"/>
    </row>
    <row r="1084" spans="1:7" ht="18">
      <c r="A1084" s="257">
        <v>1380</v>
      </c>
      <c r="B1084" s="258" t="s">
        <v>390</v>
      </c>
      <c r="C1084" s="259" t="s">
        <v>54</v>
      </c>
      <c r="D1084" s="260">
        <v>0.7</v>
      </c>
      <c r="E1084" s="112">
        <v>3.28</v>
      </c>
      <c r="F1084" s="112">
        <f>D1084*E1084</f>
        <v>2.296</v>
      </c>
      <c r="G1084" s="256"/>
    </row>
    <row r="1085" spans="1:7" ht="18">
      <c r="A1085" s="685" t="s">
        <v>103</v>
      </c>
      <c r="B1085" s="685"/>
      <c r="C1085" s="685"/>
      <c r="D1085" s="685"/>
      <c r="E1085" s="685"/>
      <c r="F1085" s="685"/>
      <c r="G1085" s="256"/>
    </row>
    <row r="1086" spans="1:7" ht="18">
      <c r="A1086" s="110">
        <v>88274</v>
      </c>
      <c r="B1086" s="291" t="s">
        <v>391</v>
      </c>
      <c r="C1086" s="110" t="s">
        <v>88</v>
      </c>
      <c r="D1086" s="111">
        <v>4.8</v>
      </c>
      <c r="E1086" s="112">
        <v>11.95</v>
      </c>
      <c r="F1086" s="112">
        <f>D1086*E1086</f>
        <v>57.35999999999999</v>
      </c>
      <c r="G1086" s="256"/>
    </row>
    <row r="1087" spans="1:7" ht="18">
      <c r="A1087" s="110">
        <v>88316</v>
      </c>
      <c r="B1087" s="292" t="s">
        <v>95</v>
      </c>
      <c r="C1087" s="110" t="s">
        <v>88</v>
      </c>
      <c r="D1087" s="111">
        <v>2.3</v>
      </c>
      <c r="E1087" s="112">
        <v>9.68</v>
      </c>
      <c r="F1087" s="112">
        <f>D1087*E1087</f>
        <v>22.264</v>
      </c>
      <c r="G1087" s="256"/>
    </row>
    <row r="1088" spans="1:7" ht="18">
      <c r="A1088" s="293"/>
      <c r="B1088" s="293"/>
      <c r="C1088" s="293"/>
      <c r="D1088" s="293"/>
      <c r="E1088" s="293"/>
      <c r="F1088" s="293"/>
      <c r="G1088" s="256"/>
    </row>
    <row r="1089" spans="1:7" ht="18">
      <c r="A1089" s="291" t="str">
        <f>"BDI ("&amp;$H$2&amp;"%)"</f>
        <v>BDI (%)</v>
      </c>
      <c r="B1089" s="291"/>
      <c r="C1089" s="110" t="s">
        <v>80</v>
      </c>
      <c r="D1089" s="113">
        <f>$H$2</f>
        <v>0</v>
      </c>
      <c r="E1089" s="112">
        <f>SUM(F1082:F1084,F1086:F1087)</f>
        <v>454.26058832</v>
      </c>
      <c r="F1089" s="112">
        <f>D1089*E1089/100</f>
        <v>0</v>
      </c>
      <c r="G1089" s="256"/>
    </row>
    <row r="1090" spans="1:7" ht="18">
      <c r="A1090" s="294" t="s">
        <v>81</v>
      </c>
      <c r="B1090" s="294"/>
      <c r="C1090" s="114"/>
      <c r="D1090" s="115"/>
      <c r="E1090" s="116"/>
      <c r="F1090" s="116">
        <f>E1089+F1089</f>
        <v>454.26058832</v>
      </c>
      <c r="G1090" s="256"/>
    </row>
    <row r="1091" spans="1:7" ht="18">
      <c r="A1091" s="271"/>
      <c r="B1091" s="271"/>
      <c r="C1091" s="271"/>
      <c r="D1091" s="271"/>
      <c r="E1091" s="271"/>
      <c r="F1091" s="271"/>
      <c r="G1091" s="256"/>
    </row>
    <row r="1092" spans="1:7" ht="18">
      <c r="A1092" s="102"/>
      <c r="B1092" s="687" t="s">
        <v>392</v>
      </c>
      <c r="C1092" s="687"/>
      <c r="D1092" s="687"/>
      <c r="E1092" s="687"/>
      <c r="F1092" s="687"/>
      <c r="G1092" s="256"/>
    </row>
    <row r="1093" spans="1:7" ht="36">
      <c r="A1093" s="103" t="s">
        <v>99</v>
      </c>
      <c r="B1093" s="105" t="s">
        <v>72</v>
      </c>
      <c r="C1093" s="105" t="s">
        <v>73</v>
      </c>
      <c r="D1093" s="106" t="s">
        <v>74</v>
      </c>
      <c r="E1093" s="107" t="s">
        <v>75</v>
      </c>
      <c r="F1093" s="107" t="s">
        <v>76</v>
      </c>
      <c r="G1093" s="256"/>
    </row>
    <row r="1094" spans="1:7" ht="18">
      <c r="A1094" s="685" t="s">
        <v>83</v>
      </c>
      <c r="B1094" s="685"/>
      <c r="C1094" s="685"/>
      <c r="D1094" s="685"/>
      <c r="E1094" s="685"/>
      <c r="F1094" s="685"/>
      <c r="G1094" s="256"/>
    </row>
    <row r="1095" spans="1:7" ht="18">
      <c r="A1095" s="257">
        <v>11795</v>
      </c>
      <c r="B1095" s="258" t="s">
        <v>393</v>
      </c>
      <c r="C1095" s="259" t="s">
        <v>4</v>
      </c>
      <c r="D1095" s="260">
        <v>1</v>
      </c>
      <c r="E1095" s="112">
        <v>353.29</v>
      </c>
      <c r="F1095" s="112">
        <f>D1095*E1095</f>
        <v>353.29</v>
      </c>
      <c r="G1095" s="256"/>
    </row>
    <row r="1096" spans="1:7" ht="18">
      <c r="A1096" s="257">
        <v>1379</v>
      </c>
      <c r="B1096" s="258" t="s">
        <v>394</v>
      </c>
      <c r="C1096" s="259" t="s">
        <v>54</v>
      </c>
      <c r="D1096" s="260">
        <v>3.2</v>
      </c>
      <c r="E1096" s="112">
        <v>0.56</v>
      </c>
      <c r="F1096" s="112">
        <f>D1096*E1096</f>
        <v>1.7920000000000003</v>
      </c>
      <c r="G1096" s="256"/>
    </row>
    <row r="1097" spans="1:7" ht="18">
      <c r="A1097" s="257">
        <v>367</v>
      </c>
      <c r="B1097" s="258" t="s">
        <v>395</v>
      </c>
      <c r="C1097" s="259" t="s">
        <v>7</v>
      </c>
      <c r="D1097" s="260">
        <v>0.008</v>
      </c>
      <c r="E1097" s="112">
        <v>70</v>
      </c>
      <c r="F1097" s="112">
        <f>D1097*E1097</f>
        <v>0.56</v>
      </c>
      <c r="G1097" s="256"/>
    </row>
    <row r="1098" spans="1:7" ht="18">
      <c r="A1098" s="685" t="s">
        <v>103</v>
      </c>
      <c r="B1098" s="685"/>
      <c r="C1098" s="685"/>
      <c r="D1098" s="685"/>
      <c r="E1098" s="685"/>
      <c r="F1098" s="685"/>
      <c r="G1098" s="256"/>
    </row>
    <row r="1099" spans="1:7" ht="18">
      <c r="A1099" s="110">
        <v>88309</v>
      </c>
      <c r="B1099" s="291" t="s">
        <v>94</v>
      </c>
      <c r="C1099" s="110" t="s">
        <v>88</v>
      </c>
      <c r="D1099" s="111">
        <v>1.2</v>
      </c>
      <c r="E1099" s="112">
        <v>12.51</v>
      </c>
      <c r="F1099" s="112">
        <f>D1099*E1099</f>
        <v>15.011999999999999</v>
      </c>
      <c r="G1099" s="256"/>
    </row>
    <row r="1100" spans="1:7" ht="18">
      <c r="A1100" s="110">
        <v>88316</v>
      </c>
      <c r="B1100" s="292" t="s">
        <v>95</v>
      </c>
      <c r="C1100" s="110" t="s">
        <v>88</v>
      </c>
      <c r="D1100" s="111">
        <v>0.2</v>
      </c>
      <c r="E1100" s="112">
        <v>9.68</v>
      </c>
      <c r="F1100" s="112">
        <f>D1100*E1100</f>
        <v>1.936</v>
      </c>
      <c r="G1100" s="256"/>
    </row>
    <row r="1101" spans="1:7" ht="18">
      <c r="A1101" s="293"/>
      <c r="B1101" s="293"/>
      <c r="C1101" s="293"/>
      <c r="D1101" s="293"/>
      <c r="E1101" s="293"/>
      <c r="F1101" s="293"/>
      <c r="G1101" s="256"/>
    </row>
    <row r="1102" spans="1:7" ht="18">
      <c r="A1102" s="291" t="str">
        <f>"BDI ("&amp;$H$2&amp;"%)"</f>
        <v>BDI (%)</v>
      </c>
      <c r="B1102" s="291"/>
      <c r="C1102" s="110" t="s">
        <v>80</v>
      </c>
      <c r="D1102" s="113">
        <f>$H$2</f>
        <v>0</v>
      </c>
      <c r="E1102" s="112">
        <f>SUM(F1095:F1097,F1099:F1100)</f>
        <v>372.59</v>
      </c>
      <c r="F1102" s="112">
        <f>D1102*E1102/100</f>
        <v>0</v>
      </c>
      <c r="G1102" s="256"/>
    </row>
    <row r="1103" spans="1:7" ht="18">
      <c r="A1103" s="294" t="s">
        <v>81</v>
      </c>
      <c r="B1103" s="294"/>
      <c r="C1103" s="114"/>
      <c r="D1103" s="115"/>
      <c r="E1103" s="116"/>
      <c r="F1103" s="116">
        <f>E1102+F1102</f>
        <v>372.59</v>
      </c>
      <c r="G1103" s="256"/>
    </row>
    <row r="1104" spans="1:7" ht="18">
      <c r="A1104" s="271"/>
      <c r="B1104" s="271"/>
      <c r="C1104" s="271"/>
      <c r="D1104" s="271"/>
      <c r="E1104" s="271"/>
      <c r="F1104" s="271"/>
      <c r="G1104" s="256"/>
    </row>
    <row r="1105" spans="1:7" ht="15">
      <c r="A1105" s="295"/>
      <c r="B1105" s="295"/>
      <c r="C1105" s="295"/>
      <c r="D1105" s="295"/>
      <c r="E1105" s="295"/>
      <c r="F1105" s="295"/>
      <c r="G1105" s="296"/>
    </row>
    <row r="1106" spans="1:7" ht="18">
      <c r="A1106" s="102" t="s">
        <v>442</v>
      </c>
      <c r="B1106" s="687" t="s">
        <v>443</v>
      </c>
      <c r="C1106" s="687"/>
      <c r="D1106" s="687"/>
      <c r="E1106" s="687"/>
      <c r="F1106" s="687"/>
      <c r="G1106" s="687"/>
    </row>
    <row r="1107" spans="1:7" ht="72">
      <c r="A1107" s="103" t="s">
        <v>99</v>
      </c>
      <c r="B1107" s="688" t="s">
        <v>72</v>
      </c>
      <c r="C1107" s="688"/>
      <c r="D1107" s="105" t="s">
        <v>73</v>
      </c>
      <c r="E1107" s="106" t="s">
        <v>74</v>
      </c>
      <c r="F1107" s="107" t="s">
        <v>75</v>
      </c>
      <c r="G1107" s="107" t="s">
        <v>76</v>
      </c>
    </row>
    <row r="1108" spans="1:7" ht="18">
      <c r="A1108" s="685" t="s">
        <v>83</v>
      </c>
      <c r="B1108" s="685"/>
      <c r="C1108" s="685"/>
      <c r="D1108" s="685"/>
      <c r="E1108" s="685"/>
      <c r="F1108" s="685"/>
      <c r="G1108" s="685"/>
    </row>
    <row r="1109" spans="1:7" ht="18">
      <c r="A1109" s="257">
        <v>333</v>
      </c>
      <c r="B1109" s="684" t="s">
        <v>396</v>
      </c>
      <c r="C1109" s="684"/>
      <c r="D1109" s="259" t="s">
        <v>54</v>
      </c>
      <c r="E1109" s="260">
        <v>0.026</v>
      </c>
      <c r="F1109" s="112">
        <v>10.25</v>
      </c>
      <c r="G1109" s="112">
        <f>E1109*F1109</f>
        <v>0.2665</v>
      </c>
    </row>
    <row r="1110" spans="1:7" ht="18">
      <c r="A1110" s="257">
        <v>11950</v>
      </c>
      <c r="B1110" s="684" t="s">
        <v>397</v>
      </c>
      <c r="C1110" s="684"/>
      <c r="D1110" s="259" t="s">
        <v>34</v>
      </c>
      <c r="E1110" s="260">
        <v>2</v>
      </c>
      <c r="F1110" s="112">
        <v>0.21</v>
      </c>
      <c r="G1110" s="112">
        <f aca="true" t="shared" si="15" ref="G1110:G1111">E1110*F1110</f>
        <v>0.42</v>
      </c>
    </row>
    <row r="1111" spans="1:7" ht="18">
      <c r="A1111" s="257">
        <v>5104</v>
      </c>
      <c r="B1111" s="684" t="s">
        <v>398</v>
      </c>
      <c r="C1111" s="684"/>
      <c r="D1111" s="259" t="s">
        <v>54</v>
      </c>
      <c r="E1111" s="260">
        <v>0.008</v>
      </c>
      <c r="F1111" s="112">
        <v>39.67</v>
      </c>
      <c r="G1111" s="112">
        <f t="shared" si="15"/>
        <v>0.31736000000000003</v>
      </c>
    </row>
    <row r="1112" spans="1:7" ht="18">
      <c r="A1112" s="257"/>
      <c r="B1112" s="684"/>
      <c r="C1112" s="684"/>
      <c r="D1112" s="259"/>
      <c r="E1112" s="260"/>
      <c r="F1112" s="112"/>
      <c r="G1112" s="112"/>
    </row>
    <row r="1113" spans="1:7" ht="39.75" customHeight="1">
      <c r="A1113" s="257">
        <v>11587</v>
      </c>
      <c r="B1113" s="684" t="s">
        <v>444</v>
      </c>
      <c r="C1113" s="684"/>
      <c r="D1113" s="259" t="s">
        <v>399</v>
      </c>
      <c r="E1113" s="260">
        <v>1</v>
      </c>
      <c r="F1113" s="112">
        <v>31</v>
      </c>
      <c r="G1113" s="112">
        <f>E1113*F1113</f>
        <v>31</v>
      </c>
    </row>
    <row r="1114" spans="1:7" ht="18">
      <c r="A1114" s="685" t="s">
        <v>103</v>
      </c>
      <c r="B1114" s="685"/>
      <c r="C1114" s="685"/>
      <c r="D1114" s="685"/>
      <c r="E1114" s="685"/>
      <c r="F1114" s="685"/>
      <c r="G1114" s="685"/>
    </row>
    <row r="1115" spans="1:7" ht="18">
      <c r="A1115" s="110">
        <v>88262</v>
      </c>
      <c r="B1115" s="682" t="s">
        <v>400</v>
      </c>
      <c r="C1115" s="682"/>
      <c r="D1115" s="110" t="s">
        <v>88</v>
      </c>
      <c r="E1115" s="111">
        <v>0.6</v>
      </c>
      <c r="F1115" s="112">
        <v>12.51</v>
      </c>
      <c r="G1115" s="112">
        <f>E1115*F1115</f>
        <v>7.505999999999999</v>
      </c>
    </row>
    <row r="1116" spans="1:7" ht="18">
      <c r="A1116" s="110">
        <v>88316</v>
      </c>
      <c r="B1116" s="686" t="s">
        <v>95</v>
      </c>
      <c r="C1116" s="686"/>
      <c r="D1116" s="110" t="s">
        <v>88</v>
      </c>
      <c r="E1116" s="111">
        <v>0.2</v>
      </c>
      <c r="F1116" s="112">
        <v>9.68</v>
      </c>
      <c r="G1116" s="112">
        <f>E1116*F1116</f>
        <v>1.936</v>
      </c>
    </row>
    <row r="1117" spans="1:7" ht="18">
      <c r="A1117" s="681"/>
      <c r="B1117" s="681"/>
      <c r="C1117" s="681"/>
      <c r="D1117" s="681"/>
      <c r="E1117" s="681"/>
      <c r="F1117" s="681"/>
      <c r="G1117" s="681"/>
    </row>
    <row r="1118" spans="1:7" ht="18">
      <c r="A1118" s="682" t="str">
        <f>"BDI ("&amp;$J$2&amp;"%)"</f>
        <v>BDI (%)</v>
      </c>
      <c r="B1118" s="682"/>
      <c r="C1118" s="682"/>
      <c r="D1118" s="110" t="s">
        <v>80</v>
      </c>
      <c r="E1118" s="113">
        <f>$H$2</f>
        <v>0</v>
      </c>
      <c r="F1118" s="112">
        <f>SUM(G1109:G1111,G1113,G1115:G1116)</f>
        <v>41.44586</v>
      </c>
      <c r="G1118" s="112">
        <f>E1118*F1118/100</f>
        <v>0</v>
      </c>
    </row>
    <row r="1119" spans="1:7" ht="18">
      <c r="A1119" s="683" t="s">
        <v>81</v>
      </c>
      <c r="B1119" s="683"/>
      <c r="C1119" s="683"/>
      <c r="D1119" s="297"/>
      <c r="E1119" s="298"/>
      <c r="F1119" s="299"/>
      <c r="G1119" s="299">
        <f>F1118+G1118</f>
        <v>41.44586</v>
      </c>
    </row>
    <row r="1121" spans="1:6" ht="15">
      <c r="A1121" s="673" t="s">
        <v>929</v>
      </c>
      <c r="B1121" s="674"/>
      <c r="C1121" s="675"/>
      <c r="D1121" s="675"/>
      <c r="E1121" s="675"/>
      <c r="F1121" s="676"/>
    </row>
    <row r="1122" spans="1:6" ht="15">
      <c r="A1122" s="558" t="s">
        <v>930</v>
      </c>
      <c r="B1122" s="677" t="s">
        <v>931</v>
      </c>
      <c r="C1122" s="677"/>
      <c r="D1122" s="677"/>
      <c r="E1122" s="677"/>
      <c r="F1122" s="677"/>
    </row>
    <row r="1123" spans="1:6" ht="28.5">
      <c r="A1123" s="559" t="s">
        <v>99</v>
      </c>
      <c r="B1123" s="560" t="s">
        <v>72</v>
      </c>
      <c r="C1123" s="560" t="s">
        <v>73</v>
      </c>
      <c r="D1123" s="561" t="s">
        <v>74</v>
      </c>
      <c r="E1123" s="562" t="s">
        <v>75</v>
      </c>
      <c r="F1123" s="562" t="s">
        <v>76</v>
      </c>
    </row>
    <row r="1124" spans="1:6" ht="14.25">
      <c r="A1124" s="678" t="s">
        <v>83</v>
      </c>
      <c r="B1124" s="678"/>
      <c r="C1124" s="678"/>
      <c r="D1124" s="678"/>
      <c r="E1124" s="678"/>
      <c r="F1124" s="678"/>
    </row>
    <row r="1125" spans="1:6" ht="14.25">
      <c r="A1125" s="563">
        <v>2674</v>
      </c>
      <c r="B1125" s="564" t="s">
        <v>932</v>
      </c>
      <c r="C1125" s="565" t="s">
        <v>26</v>
      </c>
      <c r="D1125" s="566">
        <v>1.017</v>
      </c>
      <c r="E1125" s="567">
        <v>1.95</v>
      </c>
      <c r="F1125" s="567">
        <f>D1125*E1125</f>
        <v>1.9831499999999997</v>
      </c>
    </row>
    <row r="1126" spans="1:6" ht="14.25">
      <c r="A1126" s="678" t="s">
        <v>103</v>
      </c>
      <c r="B1126" s="678"/>
      <c r="C1126" s="678"/>
      <c r="D1126" s="678"/>
      <c r="E1126" s="678"/>
      <c r="F1126" s="678"/>
    </row>
    <row r="1127" spans="1:6" ht="14.25">
      <c r="A1127" s="565">
        <v>88264</v>
      </c>
      <c r="B1127" s="564" t="s">
        <v>933</v>
      </c>
      <c r="C1127" s="565" t="s">
        <v>88</v>
      </c>
      <c r="D1127" s="566">
        <v>0.08</v>
      </c>
      <c r="E1127" s="567">
        <v>13.88</v>
      </c>
      <c r="F1127" s="567">
        <f>ROUNDUP((D1127*E1127),2)</f>
        <v>1.12</v>
      </c>
    </row>
    <row r="1128" spans="1:6" ht="14.25">
      <c r="A1128" s="565">
        <v>88247</v>
      </c>
      <c r="B1128" s="564" t="s">
        <v>934</v>
      </c>
      <c r="C1128" s="568" t="s">
        <v>88</v>
      </c>
      <c r="D1128" s="566">
        <v>0.08</v>
      </c>
      <c r="E1128" s="569">
        <v>11.15</v>
      </c>
      <c r="F1128" s="567">
        <f>D1128*E1128</f>
        <v>0.892</v>
      </c>
    </row>
    <row r="1129" spans="1:6" ht="14.25">
      <c r="A1129" s="679"/>
      <c r="B1129" s="679"/>
      <c r="C1129" s="679"/>
      <c r="D1129" s="679"/>
      <c r="E1129" s="679"/>
      <c r="F1129" s="679"/>
    </row>
    <row r="1130" spans="1:6" ht="14.25">
      <c r="A1130" s="680"/>
      <c r="B1130" s="680"/>
      <c r="C1130" s="565" t="s">
        <v>80</v>
      </c>
      <c r="D1130" s="570"/>
      <c r="E1130" s="567">
        <f>SUM(F1125:F1125,F1127:F1128)</f>
        <v>3.9951499999999998</v>
      </c>
      <c r="F1130" s="567">
        <f>D1130*E1130/100</f>
        <v>0</v>
      </c>
    </row>
    <row r="1131" spans="1:6" ht="15">
      <c r="A1131" s="663" t="s">
        <v>81</v>
      </c>
      <c r="B1131" s="663"/>
      <c r="C1131" s="571"/>
      <c r="D1131" s="572"/>
      <c r="E1131" s="573"/>
      <c r="F1131" s="573">
        <f>E1130+F1130</f>
        <v>3.9951499999999998</v>
      </c>
    </row>
    <row r="1132" spans="1:6" ht="15">
      <c r="A1132" s="574"/>
      <c r="B1132" s="574"/>
      <c r="C1132" s="575"/>
      <c r="D1132" s="576"/>
      <c r="E1132" s="577"/>
      <c r="F1132" s="577"/>
    </row>
    <row r="1133" spans="1:6" ht="15">
      <c r="A1133" s="558" t="s">
        <v>442</v>
      </c>
      <c r="B1133" s="664" t="s">
        <v>935</v>
      </c>
      <c r="C1133" s="665"/>
      <c r="D1133" s="665"/>
      <c r="E1133" s="665"/>
      <c r="F1133" s="666"/>
    </row>
    <row r="1134" spans="1:6" ht="28.5">
      <c r="A1134" s="559" t="s">
        <v>99</v>
      </c>
      <c r="B1134" s="578" t="s">
        <v>72</v>
      </c>
      <c r="C1134" s="560" t="s">
        <v>73</v>
      </c>
      <c r="D1134" s="561" t="s">
        <v>74</v>
      </c>
      <c r="E1134" s="562" t="s">
        <v>75</v>
      </c>
      <c r="F1134" s="562" t="s">
        <v>76</v>
      </c>
    </row>
    <row r="1135" spans="1:6" ht="14.25">
      <c r="A1135" s="667" t="s">
        <v>83</v>
      </c>
      <c r="B1135" s="668"/>
      <c r="C1135" s="668"/>
      <c r="D1135" s="668"/>
      <c r="E1135" s="668"/>
      <c r="F1135" s="669"/>
    </row>
    <row r="1136" spans="1:6" ht="28.5">
      <c r="A1136" s="579">
        <v>3383</v>
      </c>
      <c r="B1136" s="580" t="s">
        <v>936</v>
      </c>
      <c r="C1136" s="565" t="s">
        <v>34</v>
      </c>
      <c r="D1136" s="581">
        <v>1</v>
      </c>
      <c r="E1136" s="567">
        <v>35</v>
      </c>
      <c r="F1136" s="567">
        <f>ROUNDUP((D1136*E1136),2)</f>
        <v>35</v>
      </c>
    </row>
    <row r="1137" spans="1:6" ht="14.25">
      <c r="A1137" s="667" t="s">
        <v>103</v>
      </c>
      <c r="B1137" s="668"/>
      <c r="C1137" s="668"/>
      <c r="D1137" s="668"/>
      <c r="E1137" s="668"/>
      <c r="F1137" s="669"/>
    </row>
    <row r="1138" spans="1:6" ht="14.25">
      <c r="A1138" s="582">
        <v>88264</v>
      </c>
      <c r="B1138" s="583" t="s">
        <v>933</v>
      </c>
      <c r="C1138" s="565" t="s">
        <v>88</v>
      </c>
      <c r="D1138" s="581">
        <v>0.2</v>
      </c>
      <c r="E1138" s="567">
        <v>13.88</v>
      </c>
      <c r="F1138" s="567">
        <f>ROUNDUP((D1138*E1138),2)</f>
        <v>2.78</v>
      </c>
    </row>
    <row r="1139" spans="1:6" ht="14.25">
      <c r="A1139" s="582">
        <v>88247</v>
      </c>
      <c r="B1139" s="583" t="s">
        <v>934</v>
      </c>
      <c r="C1139" s="568" t="s">
        <v>88</v>
      </c>
      <c r="D1139" s="584">
        <v>0.2</v>
      </c>
      <c r="E1139" s="569">
        <v>11.15</v>
      </c>
      <c r="F1139" s="567">
        <f>ROUNDUP((D1139*E1139),2)</f>
        <v>2.23</v>
      </c>
    </row>
    <row r="1140" spans="1:6" ht="14.25">
      <c r="A1140" s="670"/>
      <c r="B1140" s="671"/>
      <c r="C1140" s="671"/>
      <c r="D1140" s="671"/>
      <c r="E1140" s="671"/>
      <c r="F1140" s="672"/>
    </row>
    <row r="1141" spans="1:6" ht="14.25">
      <c r="A1141" s="662"/>
      <c r="B1141" s="662"/>
      <c r="C1141" s="565" t="s">
        <v>80</v>
      </c>
      <c r="D1141" s="585">
        <v>0</v>
      </c>
      <c r="E1141" s="567">
        <f>SUM(F1136:F1136,F1138:F1139)</f>
        <v>40.01</v>
      </c>
      <c r="F1141" s="567">
        <f>D1141*E1141/100</f>
        <v>0</v>
      </c>
    </row>
    <row r="1142" spans="1:6" ht="15">
      <c r="A1142" s="663" t="s">
        <v>81</v>
      </c>
      <c r="B1142" s="663"/>
      <c r="C1142" s="571"/>
      <c r="D1142" s="572"/>
      <c r="E1142" s="573"/>
      <c r="F1142" s="573">
        <f>E1141+F1141</f>
        <v>40.01</v>
      </c>
    </row>
    <row r="1143" spans="1:6" ht="14.25">
      <c r="A1143" s="586"/>
      <c r="B1143" s="586"/>
      <c r="C1143" s="586"/>
      <c r="D1143" s="586"/>
      <c r="E1143" s="586"/>
      <c r="F1143" s="586"/>
    </row>
    <row r="1144" spans="1:6" ht="15">
      <c r="A1144" s="558" t="s">
        <v>442</v>
      </c>
      <c r="B1144" s="664" t="s">
        <v>937</v>
      </c>
      <c r="C1144" s="665"/>
      <c r="D1144" s="665"/>
      <c r="E1144" s="665"/>
      <c r="F1144" s="666"/>
    </row>
    <row r="1145" spans="1:6" ht="28.5">
      <c r="A1145" s="559" t="s">
        <v>99</v>
      </c>
      <c r="B1145" s="578" t="s">
        <v>72</v>
      </c>
      <c r="C1145" s="560" t="s">
        <v>73</v>
      </c>
      <c r="D1145" s="561" t="s">
        <v>74</v>
      </c>
      <c r="E1145" s="562" t="s">
        <v>75</v>
      </c>
      <c r="F1145" s="562" t="s">
        <v>76</v>
      </c>
    </row>
    <row r="1146" spans="1:6" ht="14.25">
      <c r="A1146" s="667" t="s">
        <v>83</v>
      </c>
      <c r="B1146" s="668"/>
      <c r="C1146" s="668"/>
      <c r="D1146" s="668"/>
      <c r="E1146" s="668"/>
      <c r="F1146" s="669"/>
    </row>
    <row r="1147" spans="1:6" ht="14.25">
      <c r="A1147" s="579">
        <v>3396</v>
      </c>
      <c r="B1147" s="580" t="s">
        <v>938</v>
      </c>
      <c r="C1147" s="565" t="s">
        <v>34</v>
      </c>
      <c r="D1147" s="581">
        <v>1</v>
      </c>
      <c r="E1147" s="567">
        <v>4</v>
      </c>
      <c r="F1147" s="567">
        <f>ROUNDUP((D1147*E1147),2)</f>
        <v>4</v>
      </c>
    </row>
    <row r="1148" spans="1:6" ht="14.25">
      <c r="A1148" s="667" t="s">
        <v>103</v>
      </c>
      <c r="B1148" s="668"/>
      <c r="C1148" s="668"/>
      <c r="D1148" s="668"/>
      <c r="E1148" s="668"/>
      <c r="F1148" s="669"/>
    </row>
    <row r="1149" spans="1:6" ht="14.25">
      <c r="A1149" s="582">
        <v>88264</v>
      </c>
      <c r="B1149" s="583" t="s">
        <v>933</v>
      </c>
      <c r="C1149" s="565" t="s">
        <v>88</v>
      </c>
      <c r="D1149" s="581">
        <v>0.25</v>
      </c>
      <c r="E1149" s="567">
        <v>13.88</v>
      </c>
      <c r="F1149" s="567">
        <f>ROUNDUP((D1149*E1149),2)</f>
        <v>3.47</v>
      </c>
    </row>
    <row r="1150" spans="1:6" ht="14.25">
      <c r="A1150" s="582">
        <v>88247</v>
      </c>
      <c r="B1150" s="583" t="s">
        <v>934</v>
      </c>
      <c r="C1150" s="568" t="s">
        <v>88</v>
      </c>
      <c r="D1150" s="584">
        <v>0.25</v>
      </c>
      <c r="E1150" s="569">
        <v>11.15</v>
      </c>
      <c r="F1150" s="567">
        <f>ROUNDUP((D1150*E1150),2)</f>
        <v>2.7899999999999996</v>
      </c>
    </row>
    <row r="1151" spans="1:6" ht="14.25">
      <c r="A1151" s="670"/>
      <c r="B1151" s="671"/>
      <c r="C1151" s="671"/>
      <c r="D1151" s="671"/>
      <c r="E1151" s="671"/>
      <c r="F1151" s="672"/>
    </row>
    <row r="1152" spans="1:6" ht="14.25">
      <c r="A1152" s="662"/>
      <c r="B1152" s="662"/>
      <c r="C1152" s="565" t="s">
        <v>80</v>
      </c>
      <c r="D1152" s="585"/>
      <c r="E1152" s="567">
        <f>SUM(F1147:F1147,F1149:F1150)</f>
        <v>10.26</v>
      </c>
      <c r="F1152" s="567">
        <f>D1152*E1152/100</f>
        <v>0</v>
      </c>
    </row>
    <row r="1153" spans="1:6" ht="15">
      <c r="A1153" s="663" t="s">
        <v>81</v>
      </c>
      <c r="B1153" s="663"/>
      <c r="C1153" s="571"/>
      <c r="D1153" s="572"/>
      <c r="E1153" s="573"/>
      <c r="F1153" s="573">
        <f>E1152+F1152</f>
        <v>10.26</v>
      </c>
    </row>
    <row r="1154" spans="1:6" ht="14.25">
      <c r="A1154" s="586"/>
      <c r="B1154" s="586"/>
      <c r="C1154" s="586"/>
      <c r="D1154" s="586"/>
      <c r="E1154" s="586"/>
      <c r="F1154" s="586"/>
    </row>
    <row r="1155" spans="1:6" ht="15">
      <c r="A1155" s="558" t="s">
        <v>939</v>
      </c>
      <c r="B1155" s="664" t="s">
        <v>940</v>
      </c>
      <c r="C1155" s="665"/>
      <c r="D1155" s="665"/>
      <c r="E1155" s="665"/>
      <c r="F1155" s="666"/>
    </row>
    <row r="1156" spans="1:6" ht="28.5">
      <c r="A1156" s="559" t="s">
        <v>99</v>
      </c>
      <c r="B1156" s="578" t="s">
        <v>72</v>
      </c>
      <c r="C1156" s="560" t="s">
        <v>73</v>
      </c>
      <c r="D1156" s="561" t="s">
        <v>74</v>
      </c>
      <c r="E1156" s="562" t="s">
        <v>75</v>
      </c>
      <c r="F1156" s="562" t="s">
        <v>76</v>
      </c>
    </row>
    <row r="1157" spans="1:6" ht="14.25">
      <c r="A1157" s="667" t="s">
        <v>83</v>
      </c>
      <c r="B1157" s="668"/>
      <c r="C1157" s="668"/>
      <c r="D1157" s="668"/>
      <c r="E1157" s="668"/>
      <c r="F1157" s="669"/>
    </row>
    <row r="1158" spans="1:6" ht="14.25">
      <c r="A1158" s="579">
        <v>863</v>
      </c>
      <c r="B1158" s="580" t="s">
        <v>941</v>
      </c>
      <c r="C1158" s="567" t="s">
        <v>26</v>
      </c>
      <c r="D1158" s="581">
        <v>1.02</v>
      </c>
      <c r="E1158" s="567">
        <v>13.5</v>
      </c>
      <c r="F1158" s="567">
        <f>D1158*E1158</f>
        <v>13.77</v>
      </c>
    </row>
    <row r="1159" spans="1:6" ht="14.25">
      <c r="A1159" s="667" t="s">
        <v>103</v>
      </c>
      <c r="B1159" s="668"/>
      <c r="C1159" s="668"/>
      <c r="D1159" s="668"/>
      <c r="E1159" s="668"/>
      <c r="F1159" s="669"/>
    </row>
    <row r="1160" spans="1:6" ht="14.25">
      <c r="A1160" s="582">
        <v>88264</v>
      </c>
      <c r="B1160" s="583" t="s">
        <v>933</v>
      </c>
      <c r="C1160" s="565" t="s">
        <v>88</v>
      </c>
      <c r="D1160" s="581">
        <v>0.2</v>
      </c>
      <c r="E1160" s="567">
        <v>13.88</v>
      </c>
      <c r="F1160" s="567">
        <f>D1160*E1160</f>
        <v>2.7760000000000002</v>
      </c>
    </row>
    <row r="1161" spans="1:6" ht="14.25">
      <c r="A1161" s="582">
        <v>88247</v>
      </c>
      <c r="B1161" s="583" t="s">
        <v>934</v>
      </c>
      <c r="C1161" s="568" t="s">
        <v>88</v>
      </c>
      <c r="D1161" s="584">
        <v>0.2</v>
      </c>
      <c r="E1161" s="569">
        <v>11.15</v>
      </c>
      <c r="F1161" s="567">
        <f>ROUNDUP((D1161*E1161),2)</f>
        <v>2.23</v>
      </c>
    </row>
    <row r="1162" spans="1:6" ht="14.25">
      <c r="A1162" s="670"/>
      <c r="B1162" s="671"/>
      <c r="C1162" s="671"/>
      <c r="D1162" s="671"/>
      <c r="E1162" s="671"/>
      <c r="F1162" s="672"/>
    </row>
    <row r="1163" spans="1:6" ht="14.25">
      <c r="A1163" s="662"/>
      <c r="B1163" s="662"/>
      <c r="C1163" s="565" t="s">
        <v>80</v>
      </c>
      <c r="D1163" s="585">
        <v>0</v>
      </c>
      <c r="E1163" s="567">
        <f>SUM(F1158:F1158,F1160:F1161)</f>
        <v>18.776</v>
      </c>
      <c r="F1163" s="567">
        <f>D1163*E1163/100</f>
        <v>0</v>
      </c>
    </row>
    <row r="1164" spans="1:6" ht="15">
      <c r="A1164" s="663" t="s">
        <v>81</v>
      </c>
      <c r="B1164" s="663"/>
      <c r="C1164" s="571"/>
      <c r="D1164" s="572"/>
      <c r="E1164" s="573"/>
      <c r="F1164" s="573">
        <f>E1163+F1163</f>
        <v>18.776</v>
      </c>
    </row>
    <row r="1165" spans="1:6" ht="14.25">
      <c r="A1165" s="586"/>
      <c r="B1165" s="586"/>
      <c r="C1165" s="586"/>
      <c r="D1165" s="586"/>
      <c r="E1165" s="586"/>
      <c r="F1165" s="586"/>
    </row>
    <row r="1166" spans="1:6" ht="15">
      <c r="A1166" s="558" t="s">
        <v>942</v>
      </c>
      <c r="B1166" s="664" t="s">
        <v>943</v>
      </c>
      <c r="C1166" s="665"/>
      <c r="D1166" s="665"/>
      <c r="E1166" s="665"/>
      <c r="F1166" s="666"/>
    </row>
    <row r="1167" spans="1:6" ht="28.5">
      <c r="A1167" s="559" t="s">
        <v>99</v>
      </c>
      <c r="B1167" s="578" t="s">
        <v>72</v>
      </c>
      <c r="C1167" s="560" t="s">
        <v>73</v>
      </c>
      <c r="D1167" s="561" t="s">
        <v>74</v>
      </c>
      <c r="E1167" s="562" t="s">
        <v>75</v>
      </c>
      <c r="F1167" s="562" t="s">
        <v>76</v>
      </c>
    </row>
    <row r="1168" spans="1:6" ht="14.25">
      <c r="A1168" s="667" t="s">
        <v>83</v>
      </c>
      <c r="B1168" s="668"/>
      <c r="C1168" s="668"/>
      <c r="D1168" s="668"/>
      <c r="E1168" s="668"/>
      <c r="F1168" s="669"/>
    </row>
    <row r="1169" spans="1:6" ht="14.25">
      <c r="A1169" s="579">
        <v>867</v>
      </c>
      <c r="B1169" s="580" t="s">
        <v>944</v>
      </c>
      <c r="C1169" s="567" t="s">
        <v>26</v>
      </c>
      <c r="D1169" s="581">
        <v>1.02</v>
      </c>
      <c r="E1169" s="567">
        <v>21</v>
      </c>
      <c r="F1169" s="567">
        <f>D1169*E1169</f>
        <v>21.42</v>
      </c>
    </row>
    <row r="1170" spans="1:6" ht="14.25">
      <c r="A1170" s="667" t="s">
        <v>103</v>
      </c>
      <c r="B1170" s="668"/>
      <c r="C1170" s="668"/>
      <c r="D1170" s="668"/>
      <c r="E1170" s="668"/>
      <c r="F1170" s="669"/>
    </row>
    <row r="1171" spans="1:6" ht="14.25">
      <c r="A1171" s="582">
        <v>88264</v>
      </c>
      <c r="B1171" s="583" t="s">
        <v>933</v>
      </c>
      <c r="C1171" s="565" t="s">
        <v>88</v>
      </c>
      <c r="D1171" s="581">
        <v>0.3</v>
      </c>
      <c r="E1171" s="567">
        <v>13.88</v>
      </c>
      <c r="F1171" s="567">
        <f>D1171*E1171</f>
        <v>4.164</v>
      </c>
    </row>
    <row r="1172" spans="1:6" ht="14.25">
      <c r="A1172" s="582">
        <v>88247</v>
      </c>
      <c r="B1172" s="583" t="s">
        <v>934</v>
      </c>
      <c r="C1172" s="568" t="s">
        <v>88</v>
      </c>
      <c r="D1172" s="584">
        <v>0.3</v>
      </c>
      <c r="E1172" s="569">
        <v>11.15</v>
      </c>
      <c r="F1172" s="567">
        <f>ROUNDUP((D1172*E1172),2)</f>
        <v>3.3499999999999996</v>
      </c>
    </row>
    <row r="1173" spans="1:6" ht="14.25">
      <c r="A1173" s="670"/>
      <c r="B1173" s="671"/>
      <c r="C1173" s="671"/>
      <c r="D1173" s="671"/>
      <c r="E1173" s="671"/>
      <c r="F1173" s="672"/>
    </row>
    <row r="1174" spans="1:6" ht="14.25">
      <c r="A1174" s="662"/>
      <c r="B1174" s="662"/>
      <c r="C1174" s="565" t="s">
        <v>80</v>
      </c>
      <c r="D1174" s="585">
        <v>0</v>
      </c>
      <c r="E1174" s="567">
        <f>SUM(F1169:F1169,F1171:F1172)</f>
        <v>28.934000000000005</v>
      </c>
      <c r="F1174" s="567">
        <f>D1174*E1174/100</f>
        <v>0</v>
      </c>
    </row>
    <row r="1175" spans="1:6" ht="15">
      <c r="A1175" s="663" t="s">
        <v>81</v>
      </c>
      <c r="B1175" s="663"/>
      <c r="C1175" s="571"/>
      <c r="D1175" s="572"/>
      <c r="E1175" s="573"/>
      <c r="F1175" s="573">
        <f>E1174+F1174</f>
        <v>28.934000000000005</v>
      </c>
    </row>
    <row r="1176" spans="1:6" ht="14.25">
      <c r="A1176" s="586"/>
      <c r="B1176" s="586"/>
      <c r="C1176" s="586"/>
      <c r="D1176" s="586"/>
      <c r="E1176" s="586"/>
      <c r="F1176" s="586"/>
    </row>
    <row r="1177" spans="1:6" ht="15">
      <c r="A1177" s="558" t="s">
        <v>442</v>
      </c>
      <c r="B1177" s="664" t="s">
        <v>945</v>
      </c>
      <c r="C1177" s="665"/>
      <c r="D1177" s="665"/>
      <c r="E1177" s="665"/>
      <c r="F1177" s="666"/>
    </row>
    <row r="1178" spans="1:6" ht="28.5">
      <c r="A1178" s="559" t="s">
        <v>99</v>
      </c>
      <c r="B1178" s="578" t="s">
        <v>72</v>
      </c>
      <c r="C1178" s="560" t="s">
        <v>73</v>
      </c>
      <c r="D1178" s="561" t="s">
        <v>74</v>
      </c>
      <c r="E1178" s="562" t="s">
        <v>75</v>
      </c>
      <c r="F1178" s="562" t="s">
        <v>76</v>
      </c>
    </row>
    <row r="1179" spans="1:6" ht="14.25">
      <c r="A1179" s="667" t="s">
        <v>83</v>
      </c>
      <c r="B1179" s="668"/>
      <c r="C1179" s="668"/>
      <c r="D1179" s="668"/>
      <c r="E1179" s="668"/>
      <c r="F1179" s="669"/>
    </row>
    <row r="1180" spans="1:6" ht="42.75">
      <c r="A1180" s="579">
        <v>4274</v>
      </c>
      <c r="B1180" s="580" t="s">
        <v>946</v>
      </c>
      <c r="C1180" s="567" t="s">
        <v>34</v>
      </c>
      <c r="D1180" s="581">
        <v>1</v>
      </c>
      <c r="E1180" s="567">
        <v>65.5</v>
      </c>
      <c r="F1180" s="567">
        <f>ROUNDUP((D1180*E1180),2)</f>
        <v>65.5</v>
      </c>
    </row>
    <row r="1181" spans="1:6" ht="14.25">
      <c r="A1181" s="579" t="s">
        <v>84</v>
      </c>
      <c r="B1181" s="580" t="s">
        <v>947</v>
      </c>
      <c r="C1181" s="565" t="s">
        <v>91</v>
      </c>
      <c r="D1181" s="566">
        <v>4</v>
      </c>
      <c r="E1181" s="567">
        <v>0.46</v>
      </c>
      <c r="F1181" s="567">
        <f aca="true" t="shared" si="16" ref="F1181:F1186">ROUNDUP((D1181*E1181),2)</f>
        <v>1.84</v>
      </c>
    </row>
    <row r="1182" spans="1:6" ht="28.5">
      <c r="A1182" s="579">
        <v>1562</v>
      </c>
      <c r="B1182" s="580" t="s">
        <v>948</v>
      </c>
      <c r="C1182" s="567" t="s">
        <v>34</v>
      </c>
      <c r="D1182" s="581">
        <v>3</v>
      </c>
      <c r="E1182" s="567">
        <v>7.25</v>
      </c>
      <c r="F1182" s="567">
        <f t="shared" si="16"/>
        <v>21.75</v>
      </c>
    </row>
    <row r="1183" spans="1:6" ht="14.25">
      <c r="A1183" s="579" t="s">
        <v>84</v>
      </c>
      <c r="B1183" s="580" t="s">
        <v>949</v>
      </c>
      <c r="C1183" s="565" t="s">
        <v>34</v>
      </c>
      <c r="D1183" s="566">
        <v>1</v>
      </c>
      <c r="E1183" s="567">
        <v>241.06</v>
      </c>
      <c r="F1183" s="567">
        <f t="shared" si="16"/>
        <v>241.06</v>
      </c>
    </row>
    <row r="1184" spans="1:6" ht="28.5">
      <c r="A1184" s="579">
        <v>7572</v>
      </c>
      <c r="B1184" s="580" t="s">
        <v>950</v>
      </c>
      <c r="C1184" s="567" t="s">
        <v>34</v>
      </c>
      <c r="D1184" s="581">
        <v>3</v>
      </c>
      <c r="E1184" s="567">
        <v>5.66</v>
      </c>
      <c r="F1184" s="567">
        <f t="shared" si="16"/>
        <v>16.98</v>
      </c>
    </row>
    <row r="1185" spans="1:6" ht="28.5">
      <c r="A1185" s="579">
        <v>7696</v>
      </c>
      <c r="B1185" s="580" t="s">
        <v>951</v>
      </c>
      <c r="C1185" s="567" t="s">
        <v>26</v>
      </c>
      <c r="D1185" s="581">
        <v>3</v>
      </c>
      <c r="E1185" s="567">
        <v>33.56</v>
      </c>
      <c r="F1185" s="567">
        <f t="shared" si="16"/>
        <v>100.68</v>
      </c>
    </row>
    <row r="1186" spans="1:6" ht="14.25">
      <c r="A1186" s="579">
        <v>10956</v>
      </c>
      <c r="B1186" s="580" t="s">
        <v>952</v>
      </c>
      <c r="C1186" s="567" t="s">
        <v>34</v>
      </c>
      <c r="D1186" s="581">
        <v>1</v>
      </c>
      <c r="E1186" s="567">
        <v>45.48</v>
      </c>
      <c r="F1186" s="567">
        <f t="shared" si="16"/>
        <v>45.48</v>
      </c>
    </row>
    <row r="1187" spans="1:6" ht="14.25">
      <c r="A1187" s="667" t="s">
        <v>103</v>
      </c>
      <c r="B1187" s="668"/>
      <c r="C1187" s="668"/>
      <c r="D1187" s="668"/>
      <c r="E1187" s="668"/>
      <c r="F1187" s="669"/>
    </row>
    <row r="1188" spans="1:6" ht="14.25">
      <c r="A1188" s="587">
        <v>88316</v>
      </c>
      <c r="B1188" s="583" t="s">
        <v>95</v>
      </c>
      <c r="C1188" s="568" t="s">
        <v>88</v>
      </c>
      <c r="D1188" s="584">
        <v>5</v>
      </c>
      <c r="E1188" s="569">
        <v>10.64</v>
      </c>
      <c r="F1188" s="567">
        <f>ROUNDUP((D1188*E1188),2)</f>
        <v>53.2</v>
      </c>
    </row>
    <row r="1189" spans="1:6" ht="14.25">
      <c r="A1189" s="582">
        <v>88264</v>
      </c>
      <c r="B1189" s="583" t="s">
        <v>933</v>
      </c>
      <c r="C1189" s="565" t="s">
        <v>88</v>
      </c>
      <c r="D1189" s="581">
        <v>5</v>
      </c>
      <c r="E1189" s="567">
        <v>13.88</v>
      </c>
      <c r="F1189" s="567">
        <f>D1189*E1189</f>
        <v>69.4</v>
      </c>
    </row>
    <row r="1190" spans="1:6" ht="14.25">
      <c r="A1190" s="670"/>
      <c r="B1190" s="671"/>
      <c r="C1190" s="671"/>
      <c r="D1190" s="671"/>
      <c r="E1190" s="671"/>
      <c r="F1190" s="672"/>
    </row>
    <row r="1191" spans="1:6" ht="14.25">
      <c r="A1191" s="662"/>
      <c r="B1191" s="662"/>
      <c r="C1191" s="565" t="s">
        <v>80</v>
      </c>
      <c r="D1191" s="585">
        <v>0</v>
      </c>
      <c r="E1191" s="567">
        <f>SUM(F1180:F1186,F1188:F1189)</f>
        <v>615.89</v>
      </c>
      <c r="F1191" s="567">
        <f>D1191*E1191/100</f>
        <v>0</v>
      </c>
    </row>
    <row r="1192" spans="1:6" ht="15">
      <c r="A1192" s="663" t="s">
        <v>81</v>
      </c>
      <c r="B1192" s="663"/>
      <c r="C1192" s="571"/>
      <c r="D1192" s="572"/>
      <c r="E1192" s="573"/>
      <c r="F1192" s="573">
        <f>E1191+F1191</f>
        <v>615.89</v>
      </c>
    </row>
    <row r="1193" spans="1:6" ht="14.25">
      <c r="A1193" s="586"/>
      <c r="B1193" s="586"/>
      <c r="C1193" s="586"/>
      <c r="D1193" s="586"/>
      <c r="E1193" s="586"/>
      <c r="F1193" s="586"/>
    </row>
    <row r="1194" spans="1:6" ht="30">
      <c r="A1194" s="558" t="s">
        <v>953</v>
      </c>
      <c r="B1194" s="664" t="s">
        <v>954</v>
      </c>
      <c r="C1194" s="665"/>
      <c r="D1194" s="665"/>
      <c r="E1194" s="665"/>
      <c r="F1194" s="666"/>
    </row>
    <row r="1195" spans="1:6" ht="28.5">
      <c r="A1195" s="559" t="s">
        <v>99</v>
      </c>
      <c r="B1195" s="578" t="s">
        <v>72</v>
      </c>
      <c r="C1195" s="560" t="s">
        <v>73</v>
      </c>
      <c r="D1195" s="561" t="s">
        <v>74</v>
      </c>
      <c r="E1195" s="562" t="s">
        <v>75</v>
      </c>
      <c r="F1195" s="562" t="s">
        <v>76</v>
      </c>
    </row>
    <row r="1196" spans="1:6" ht="14.25">
      <c r="A1196" s="667" t="s">
        <v>83</v>
      </c>
      <c r="B1196" s="668"/>
      <c r="C1196" s="668"/>
      <c r="D1196" s="668"/>
      <c r="E1196" s="668"/>
      <c r="F1196" s="669"/>
    </row>
    <row r="1197" spans="1:6" ht="14.25">
      <c r="A1197" s="579">
        <v>370</v>
      </c>
      <c r="B1197" s="580" t="s">
        <v>361</v>
      </c>
      <c r="C1197" s="567" t="s">
        <v>7</v>
      </c>
      <c r="D1197" s="581">
        <v>0.0028</v>
      </c>
      <c r="E1197" s="567">
        <v>48</v>
      </c>
      <c r="F1197" s="567">
        <f>ROUNDUP((D1197*E1197),2)</f>
        <v>0.14</v>
      </c>
    </row>
    <row r="1198" spans="1:6" ht="14.25">
      <c r="A1198" s="579">
        <v>1379</v>
      </c>
      <c r="B1198" s="588" t="s">
        <v>394</v>
      </c>
      <c r="C1198" s="567" t="s">
        <v>54</v>
      </c>
      <c r="D1198" s="581">
        <v>2</v>
      </c>
      <c r="E1198" s="567">
        <v>0.5</v>
      </c>
      <c r="F1198" s="567">
        <f>ROUNDUP((D1198*E1198),2)</f>
        <v>1</v>
      </c>
    </row>
    <row r="1199" spans="1:6" ht="14.25">
      <c r="A1199" s="582">
        <v>3279</v>
      </c>
      <c r="B1199" s="589" t="s">
        <v>955</v>
      </c>
      <c r="C1199" s="565" t="s">
        <v>34</v>
      </c>
      <c r="D1199" s="581">
        <v>1</v>
      </c>
      <c r="E1199" s="567">
        <v>90</v>
      </c>
      <c r="F1199" s="567">
        <f>ROUNDUP((D1199*E1199),2)</f>
        <v>90</v>
      </c>
    </row>
    <row r="1200" spans="1:6" ht="14.25">
      <c r="A1200" s="667" t="s">
        <v>103</v>
      </c>
      <c r="B1200" s="668"/>
      <c r="C1200" s="668"/>
      <c r="D1200" s="668"/>
      <c r="E1200" s="668"/>
      <c r="F1200" s="669"/>
    </row>
    <row r="1201" spans="1:6" ht="14.25">
      <c r="A1201" s="587">
        <v>88316</v>
      </c>
      <c r="B1201" s="583" t="s">
        <v>95</v>
      </c>
      <c r="C1201" s="568" t="s">
        <v>88</v>
      </c>
      <c r="D1201" s="584">
        <v>1.5</v>
      </c>
      <c r="E1201" s="569">
        <v>10.64</v>
      </c>
      <c r="F1201" s="567">
        <f>ROUNDUP((D1201*E1201),2)</f>
        <v>15.96</v>
      </c>
    </row>
    <row r="1202" spans="1:6" ht="14.25">
      <c r="A1202" s="582">
        <v>88309</v>
      </c>
      <c r="B1202" s="589" t="s">
        <v>94</v>
      </c>
      <c r="C1202" s="565" t="s">
        <v>88</v>
      </c>
      <c r="D1202" s="584">
        <v>1.5</v>
      </c>
      <c r="E1202" s="567">
        <v>13.7</v>
      </c>
      <c r="F1202" s="567">
        <f>ROUNDUP((D1202*E1202),2)</f>
        <v>20.55</v>
      </c>
    </row>
    <row r="1203" spans="1:6" ht="14.25">
      <c r="A1203" s="582">
        <v>88248</v>
      </c>
      <c r="B1203" s="589" t="s">
        <v>956</v>
      </c>
      <c r="C1203" s="565" t="s">
        <v>88</v>
      </c>
      <c r="D1203" s="581">
        <v>1</v>
      </c>
      <c r="E1203" s="567">
        <v>11.07</v>
      </c>
      <c r="F1203" s="567">
        <f>ROUNDUP((D1203*E1203),2)</f>
        <v>11.07</v>
      </c>
    </row>
    <row r="1204" spans="1:6" ht="14.25">
      <c r="A1204" s="587">
        <v>88267</v>
      </c>
      <c r="B1204" s="583" t="s">
        <v>957</v>
      </c>
      <c r="C1204" s="568" t="s">
        <v>88</v>
      </c>
      <c r="D1204" s="584">
        <v>1</v>
      </c>
      <c r="E1204" s="569">
        <v>13.7</v>
      </c>
      <c r="F1204" s="567">
        <f>ROUNDUP((D1204*E1204),2)</f>
        <v>13.7</v>
      </c>
    </row>
    <row r="1205" spans="1:6" ht="14.25">
      <c r="A1205" s="670"/>
      <c r="B1205" s="671"/>
      <c r="C1205" s="671"/>
      <c r="D1205" s="671"/>
      <c r="E1205" s="671"/>
      <c r="F1205" s="672"/>
    </row>
    <row r="1206" spans="1:6" ht="14.25">
      <c r="A1206" s="662"/>
      <c r="B1206" s="662"/>
      <c r="C1206" s="565" t="s">
        <v>80</v>
      </c>
      <c r="D1206" s="585">
        <v>0</v>
      </c>
      <c r="E1206" s="567">
        <f>SUM(F1197:F1199,F1201:F1204)</f>
        <v>152.42</v>
      </c>
      <c r="F1206" s="567">
        <f>D1206*E1206/100</f>
        <v>0</v>
      </c>
    </row>
    <row r="1207" spans="1:6" ht="15">
      <c r="A1207" s="663" t="s">
        <v>81</v>
      </c>
      <c r="B1207" s="663"/>
      <c r="C1207" s="571"/>
      <c r="D1207" s="572"/>
      <c r="E1207" s="573"/>
      <c r="F1207" s="573">
        <f>E1206+F1206</f>
        <v>152.42</v>
      </c>
    </row>
    <row r="1208" spans="1:6" ht="14.25">
      <c r="A1208" s="586"/>
      <c r="B1208" s="586"/>
      <c r="C1208" s="586"/>
      <c r="D1208" s="586"/>
      <c r="E1208" s="586"/>
      <c r="F1208" s="586"/>
    </row>
  </sheetData>
  <mergeCells count="538">
    <mergeCell ref="A8:B8"/>
    <mergeCell ref="A1:B1"/>
    <mergeCell ref="C1:F1"/>
    <mergeCell ref="B2:F2"/>
    <mergeCell ref="A4:F4"/>
    <mergeCell ref="A6:F6"/>
    <mergeCell ref="A7:B7"/>
    <mergeCell ref="B10:F10"/>
    <mergeCell ref="A12:F12"/>
    <mergeCell ref="A14:F14"/>
    <mergeCell ref="A17:F17"/>
    <mergeCell ref="A18:B18"/>
    <mergeCell ref="A19:B19"/>
    <mergeCell ref="B23:F23"/>
    <mergeCell ref="A25:F25"/>
    <mergeCell ref="A28:F28"/>
    <mergeCell ref="A29:B29"/>
    <mergeCell ref="A30:B30"/>
    <mergeCell ref="B32:F32"/>
    <mergeCell ref="A44:F44"/>
    <mergeCell ref="A48:F48"/>
    <mergeCell ref="A50:F50"/>
    <mergeCell ref="A40:B40"/>
    <mergeCell ref="A39:B39"/>
    <mergeCell ref="A38:F38"/>
    <mergeCell ref="A36:F36"/>
    <mergeCell ref="A34:F34"/>
    <mergeCell ref="A53:F53"/>
    <mergeCell ref="A54:B54"/>
    <mergeCell ref="B56:F56"/>
    <mergeCell ref="B42:F42"/>
    <mergeCell ref="A72:F72"/>
    <mergeCell ref="A75:F75"/>
    <mergeCell ref="A76:B76"/>
    <mergeCell ref="B78:F78"/>
    <mergeCell ref="A80:F80"/>
    <mergeCell ref="A82:F82"/>
    <mergeCell ref="A58:F58"/>
    <mergeCell ref="A61:F61"/>
    <mergeCell ref="A64:F64"/>
    <mergeCell ref="A65:B65"/>
    <mergeCell ref="B67:F67"/>
    <mergeCell ref="A69:F69"/>
    <mergeCell ref="A101:B101"/>
    <mergeCell ref="B103:F103"/>
    <mergeCell ref="A106:F106"/>
    <mergeCell ref="A107:B107"/>
    <mergeCell ref="B109:F109"/>
    <mergeCell ref="A111:F111"/>
    <mergeCell ref="A85:F85"/>
    <mergeCell ref="A86:B86"/>
    <mergeCell ref="B88:F88"/>
    <mergeCell ref="A90:F90"/>
    <mergeCell ref="A97:F97"/>
    <mergeCell ref="A100:F100"/>
    <mergeCell ref="A127:B127"/>
    <mergeCell ref="B129:F129"/>
    <mergeCell ref="A131:F131"/>
    <mergeCell ref="A133:F133"/>
    <mergeCell ref="A136:F136"/>
    <mergeCell ref="A137:B137"/>
    <mergeCell ref="A118:F118"/>
    <mergeCell ref="A119:B119"/>
    <mergeCell ref="A120:B120"/>
    <mergeCell ref="B122:F122"/>
    <mergeCell ref="A124:F124"/>
    <mergeCell ref="A126:F126"/>
    <mergeCell ref="A156:F156"/>
    <mergeCell ref="A162:F162"/>
    <mergeCell ref="A165:F165"/>
    <mergeCell ref="A166:B166"/>
    <mergeCell ref="A167:B167"/>
    <mergeCell ref="B169:F169"/>
    <mergeCell ref="B139:F139"/>
    <mergeCell ref="A141:F141"/>
    <mergeCell ref="A148:F148"/>
    <mergeCell ref="A151:B151"/>
    <mergeCell ref="A152:B152"/>
    <mergeCell ref="B154:F154"/>
    <mergeCell ref="A183:F183"/>
    <mergeCell ref="A186:F186"/>
    <mergeCell ref="A189:F189"/>
    <mergeCell ref="A190:B190"/>
    <mergeCell ref="A191:B191"/>
    <mergeCell ref="A171:F171"/>
    <mergeCell ref="A174:F174"/>
    <mergeCell ref="A177:F177"/>
    <mergeCell ref="A178:B178"/>
    <mergeCell ref="A179:B179"/>
    <mergeCell ref="B181:F181"/>
    <mergeCell ref="A203:F203"/>
    <mergeCell ref="A204:B204"/>
    <mergeCell ref="A205:B205"/>
    <mergeCell ref="B195:F195"/>
    <mergeCell ref="A197:F197"/>
    <mergeCell ref="A200:F200"/>
    <mergeCell ref="B208:F208"/>
    <mergeCell ref="A210:F210"/>
    <mergeCell ref="A213:F213"/>
    <mergeCell ref="A215:B215"/>
    <mergeCell ref="B231:F231"/>
    <mergeCell ref="A233:F233"/>
    <mergeCell ref="A236:F236"/>
    <mergeCell ref="A239:F239"/>
    <mergeCell ref="A240:B240"/>
    <mergeCell ref="B242:F242"/>
    <mergeCell ref="B217:F217"/>
    <mergeCell ref="A219:F219"/>
    <mergeCell ref="A223:F223"/>
    <mergeCell ref="A225:F225"/>
    <mergeCell ref="A228:F228"/>
    <mergeCell ref="A229:B229"/>
    <mergeCell ref="A257:F257"/>
    <mergeCell ref="A260:F260"/>
    <mergeCell ref="A261:B261"/>
    <mergeCell ref="B263:F263"/>
    <mergeCell ref="A265:F265"/>
    <mergeCell ref="A272:F272"/>
    <mergeCell ref="A244:F244"/>
    <mergeCell ref="A247:F247"/>
    <mergeCell ref="A250:F250"/>
    <mergeCell ref="A251:B251"/>
    <mergeCell ref="B253:F253"/>
    <mergeCell ref="A255:F255"/>
    <mergeCell ref="A286:F286"/>
    <mergeCell ref="A293:F293"/>
    <mergeCell ref="A294:B294"/>
    <mergeCell ref="A295:B295"/>
    <mergeCell ref="B297:F297"/>
    <mergeCell ref="A299:F299"/>
    <mergeCell ref="A275:F275"/>
    <mergeCell ref="A276:B276"/>
    <mergeCell ref="B278:F278"/>
    <mergeCell ref="A281:F281"/>
    <mergeCell ref="A282:B282"/>
    <mergeCell ref="B284:F284"/>
    <mergeCell ref="A312:B312"/>
    <mergeCell ref="B314:F314"/>
    <mergeCell ref="A316:F316"/>
    <mergeCell ref="A323:F323"/>
    <mergeCell ref="A326:B326"/>
    <mergeCell ref="A327:B327"/>
    <mergeCell ref="A301:F301"/>
    <mergeCell ref="A302:B302"/>
    <mergeCell ref="B304:F304"/>
    <mergeCell ref="A306:F306"/>
    <mergeCell ref="A308:F308"/>
    <mergeCell ref="A311:F311"/>
    <mergeCell ref="B344:F344"/>
    <mergeCell ref="A346:F346"/>
    <mergeCell ref="A349:F349"/>
    <mergeCell ref="A352:F352"/>
    <mergeCell ref="A353:B353"/>
    <mergeCell ref="A354:B354"/>
    <mergeCell ref="B329:F329"/>
    <mergeCell ref="A331:F331"/>
    <mergeCell ref="A337:F337"/>
    <mergeCell ref="A340:F340"/>
    <mergeCell ref="A341:B341"/>
    <mergeCell ref="A342:B342"/>
    <mergeCell ref="B356:F356"/>
    <mergeCell ref="A358:F358"/>
    <mergeCell ref="A361:F361"/>
    <mergeCell ref="A364:F364"/>
    <mergeCell ref="A365:B365"/>
    <mergeCell ref="A366:B366"/>
    <mergeCell ref="B369:F369"/>
    <mergeCell ref="A371:F371"/>
    <mergeCell ref="A374:F374"/>
    <mergeCell ref="A376:B376"/>
    <mergeCell ref="B378:F378"/>
    <mergeCell ref="A380:F380"/>
    <mergeCell ref="B391:F391"/>
    <mergeCell ref="A393:F393"/>
    <mergeCell ref="A384:F384"/>
    <mergeCell ref="A387:F387"/>
    <mergeCell ref="A388:B388"/>
    <mergeCell ref="A389:B389"/>
    <mergeCell ref="B405:F405"/>
    <mergeCell ref="A407:F407"/>
    <mergeCell ref="A397:F397"/>
    <mergeCell ref="A400:F400"/>
    <mergeCell ref="A402:F402"/>
    <mergeCell ref="A403:B403"/>
    <mergeCell ref="A422:B422"/>
    <mergeCell ref="A423:B423"/>
    <mergeCell ref="A410:F410"/>
    <mergeCell ref="A412:B412"/>
    <mergeCell ref="B414:F414"/>
    <mergeCell ref="A416:F416"/>
    <mergeCell ref="A418:F418"/>
    <mergeCell ref="A421:F421"/>
    <mergeCell ref="A434:B434"/>
    <mergeCell ref="B437:F437"/>
    <mergeCell ref="A439:F439"/>
    <mergeCell ref="A442:F442"/>
    <mergeCell ref="A444:B444"/>
    <mergeCell ref="B446:F446"/>
    <mergeCell ref="B426:F426"/>
    <mergeCell ref="A428:F428"/>
    <mergeCell ref="A432:F432"/>
    <mergeCell ref="A433:B433"/>
    <mergeCell ref="A459:F459"/>
    <mergeCell ref="A463:F463"/>
    <mergeCell ref="A466:F466"/>
    <mergeCell ref="A468:B468"/>
    <mergeCell ref="B470:F470"/>
    <mergeCell ref="A472:F472"/>
    <mergeCell ref="A448:F448"/>
    <mergeCell ref="A450:F450"/>
    <mergeCell ref="A453:F453"/>
    <mergeCell ref="A454:B454"/>
    <mergeCell ref="A455:B455"/>
    <mergeCell ref="B457:F457"/>
    <mergeCell ref="A487:F487"/>
    <mergeCell ref="A490:F490"/>
    <mergeCell ref="A491:B491"/>
    <mergeCell ref="A492:B492"/>
    <mergeCell ref="B494:F494"/>
    <mergeCell ref="A496:F496"/>
    <mergeCell ref="A474:F474"/>
    <mergeCell ref="A477:F477"/>
    <mergeCell ref="A478:B478"/>
    <mergeCell ref="A479:B479"/>
    <mergeCell ref="B481:F481"/>
    <mergeCell ref="A483:F483"/>
    <mergeCell ref="A513:F513"/>
    <mergeCell ref="A515:B515"/>
    <mergeCell ref="B517:F517"/>
    <mergeCell ref="A519:F519"/>
    <mergeCell ref="A533:F533"/>
    <mergeCell ref="A538:F538"/>
    <mergeCell ref="A500:F500"/>
    <mergeCell ref="A504:F504"/>
    <mergeCell ref="A505:B505"/>
    <mergeCell ref="A506:B506"/>
    <mergeCell ref="B508:F508"/>
    <mergeCell ref="A510:F510"/>
    <mergeCell ref="A561:B561"/>
    <mergeCell ref="A562:B562"/>
    <mergeCell ref="B564:F564"/>
    <mergeCell ref="A566:F566"/>
    <mergeCell ref="A577:F577"/>
    <mergeCell ref="A581:F581"/>
    <mergeCell ref="A539:B539"/>
    <mergeCell ref="A540:B540"/>
    <mergeCell ref="B542:F542"/>
    <mergeCell ref="A544:F544"/>
    <mergeCell ref="A556:F556"/>
    <mergeCell ref="A560:F560"/>
    <mergeCell ref="A602:B602"/>
    <mergeCell ref="A603:B603"/>
    <mergeCell ref="B605:F605"/>
    <mergeCell ref="A607:F607"/>
    <mergeCell ref="A611:F611"/>
    <mergeCell ref="A613:B613"/>
    <mergeCell ref="A582:B582"/>
    <mergeCell ref="A583:B583"/>
    <mergeCell ref="B585:F585"/>
    <mergeCell ref="A587:F587"/>
    <mergeCell ref="A597:F597"/>
    <mergeCell ref="A601:F601"/>
    <mergeCell ref="B628:F628"/>
    <mergeCell ref="A630:F630"/>
    <mergeCell ref="A633:F633"/>
    <mergeCell ref="A636:F636"/>
    <mergeCell ref="A637:B637"/>
    <mergeCell ref="A638:B638"/>
    <mergeCell ref="B615:F615"/>
    <mergeCell ref="A617:F617"/>
    <mergeCell ref="A620:F620"/>
    <mergeCell ref="A624:F624"/>
    <mergeCell ref="A625:B625"/>
    <mergeCell ref="A626:B626"/>
    <mergeCell ref="A656:F656"/>
    <mergeCell ref="A660:F660"/>
    <mergeCell ref="A663:F663"/>
    <mergeCell ref="A664:B664"/>
    <mergeCell ref="A665:B665"/>
    <mergeCell ref="B667:F667"/>
    <mergeCell ref="B640:F640"/>
    <mergeCell ref="A642:F642"/>
    <mergeCell ref="A647:F647"/>
    <mergeCell ref="A651:B651"/>
    <mergeCell ref="A652:B652"/>
    <mergeCell ref="B654:F654"/>
    <mergeCell ref="A682:F682"/>
    <mergeCell ref="A686:F686"/>
    <mergeCell ref="A689:F689"/>
    <mergeCell ref="A690:B690"/>
    <mergeCell ref="A691:B691"/>
    <mergeCell ref="B693:F693"/>
    <mergeCell ref="A669:F669"/>
    <mergeCell ref="A673:F673"/>
    <mergeCell ref="A676:F676"/>
    <mergeCell ref="A677:B677"/>
    <mergeCell ref="A678:B678"/>
    <mergeCell ref="B680:F680"/>
    <mergeCell ref="A706:F706"/>
    <mergeCell ref="A710:F710"/>
    <mergeCell ref="A713:F713"/>
    <mergeCell ref="A715:F715"/>
    <mergeCell ref="A716:B716"/>
    <mergeCell ref="B718:F718"/>
    <mergeCell ref="A695:F695"/>
    <mergeCell ref="A698:F698"/>
    <mergeCell ref="A700:F700"/>
    <mergeCell ref="A701:B701"/>
    <mergeCell ref="A702:B702"/>
    <mergeCell ref="B704:F704"/>
    <mergeCell ref="A732:F732"/>
    <mergeCell ref="A734:F734"/>
    <mergeCell ref="A737:F737"/>
    <mergeCell ref="A738:B738"/>
    <mergeCell ref="A739:B739"/>
    <mergeCell ref="B741:F741"/>
    <mergeCell ref="A720:F720"/>
    <mergeCell ref="A723:F723"/>
    <mergeCell ref="A726:F726"/>
    <mergeCell ref="A727:B727"/>
    <mergeCell ref="A728:B728"/>
    <mergeCell ref="B730:F730"/>
    <mergeCell ref="A754:F754"/>
    <mergeCell ref="A756:F756"/>
    <mergeCell ref="A759:F759"/>
    <mergeCell ref="A760:B760"/>
    <mergeCell ref="A761:B761"/>
    <mergeCell ref="B763:F763"/>
    <mergeCell ref="A743:F743"/>
    <mergeCell ref="A745:F745"/>
    <mergeCell ref="A748:F748"/>
    <mergeCell ref="A749:B749"/>
    <mergeCell ref="A750:B750"/>
    <mergeCell ref="B752:F752"/>
    <mergeCell ref="A784:F784"/>
    <mergeCell ref="A789:F789"/>
    <mergeCell ref="A791:F791"/>
    <mergeCell ref="A793:F793"/>
    <mergeCell ref="A794:B794"/>
    <mergeCell ref="B796:F796"/>
    <mergeCell ref="A765:F765"/>
    <mergeCell ref="A767:F767"/>
    <mergeCell ref="A770:F770"/>
    <mergeCell ref="A771:B771"/>
    <mergeCell ref="A772:B772"/>
    <mergeCell ref="B782:F782"/>
    <mergeCell ref="A816:F816"/>
    <mergeCell ref="A819:F819"/>
    <mergeCell ref="A822:F822"/>
    <mergeCell ref="A823:B823"/>
    <mergeCell ref="A824:B824"/>
    <mergeCell ref="B826:F826"/>
    <mergeCell ref="A798:F798"/>
    <mergeCell ref="A806:F806"/>
    <mergeCell ref="A810:F810"/>
    <mergeCell ref="A811:B811"/>
    <mergeCell ref="A812:B812"/>
    <mergeCell ref="B814:F814"/>
    <mergeCell ref="A839:F839"/>
    <mergeCell ref="A844:F844"/>
    <mergeCell ref="A847:F847"/>
    <mergeCell ref="A848:B848"/>
    <mergeCell ref="A849:B849"/>
    <mergeCell ref="A828:F828"/>
    <mergeCell ref="A830:F830"/>
    <mergeCell ref="A833:F833"/>
    <mergeCell ref="A834:B834"/>
    <mergeCell ref="A835:B835"/>
    <mergeCell ref="B837:F837"/>
    <mergeCell ref="A856:F856"/>
    <mergeCell ref="A859:F859"/>
    <mergeCell ref="A860:B860"/>
    <mergeCell ref="A861:B861"/>
    <mergeCell ref="B863:F863"/>
    <mergeCell ref="A865:F865"/>
    <mergeCell ref="B852:F852"/>
    <mergeCell ref="A854:F854"/>
    <mergeCell ref="A879:F879"/>
    <mergeCell ref="A882:F882"/>
    <mergeCell ref="A883:B883"/>
    <mergeCell ref="A884:B884"/>
    <mergeCell ref="B886:F886"/>
    <mergeCell ref="A888:F888"/>
    <mergeCell ref="A867:F867"/>
    <mergeCell ref="A870:F870"/>
    <mergeCell ref="A871:B871"/>
    <mergeCell ref="A872:B872"/>
    <mergeCell ref="B874:F874"/>
    <mergeCell ref="A876:F876"/>
    <mergeCell ref="A901:F901"/>
    <mergeCell ref="A904:F904"/>
    <mergeCell ref="A905:B905"/>
    <mergeCell ref="A906:B906"/>
    <mergeCell ref="B908:F908"/>
    <mergeCell ref="A910:F910"/>
    <mergeCell ref="A890:F890"/>
    <mergeCell ref="A893:F893"/>
    <mergeCell ref="A894:B894"/>
    <mergeCell ref="A895:B895"/>
    <mergeCell ref="B897:F897"/>
    <mergeCell ref="A899:F899"/>
    <mergeCell ref="A925:F925"/>
    <mergeCell ref="A928:F928"/>
    <mergeCell ref="A929:B929"/>
    <mergeCell ref="A930:B930"/>
    <mergeCell ref="A941:B941"/>
    <mergeCell ref="B943:F943"/>
    <mergeCell ref="A914:F914"/>
    <mergeCell ref="A917:F917"/>
    <mergeCell ref="A918:B918"/>
    <mergeCell ref="A919:B919"/>
    <mergeCell ref="B921:F921"/>
    <mergeCell ref="A923:F923"/>
    <mergeCell ref="A958:F958"/>
    <mergeCell ref="A961:F961"/>
    <mergeCell ref="A964:F964"/>
    <mergeCell ref="A965:B965"/>
    <mergeCell ref="A966:B966"/>
    <mergeCell ref="B968:F968"/>
    <mergeCell ref="A945:F945"/>
    <mergeCell ref="A949:F949"/>
    <mergeCell ref="A952:F952"/>
    <mergeCell ref="A953:B953"/>
    <mergeCell ref="A954:B954"/>
    <mergeCell ref="B956:F956"/>
    <mergeCell ref="A982:F982"/>
    <mergeCell ref="A985:F985"/>
    <mergeCell ref="A988:F988"/>
    <mergeCell ref="A989:B989"/>
    <mergeCell ref="A990:B990"/>
    <mergeCell ref="B993:F993"/>
    <mergeCell ref="A970:F970"/>
    <mergeCell ref="A973:F973"/>
    <mergeCell ref="A976:F976"/>
    <mergeCell ref="A977:B977"/>
    <mergeCell ref="A978:B978"/>
    <mergeCell ref="B980:F980"/>
    <mergeCell ref="A1006:F1006"/>
    <mergeCell ref="A1009:F1009"/>
    <mergeCell ref="A1011:B1011"/>
    <mergeCell ref="B1014:F1014"/>
    <mergeCell ref="A1016:F1016"/>
    <mergeCell ref="A1019:F1019"/>
    <mergeCell ref="A995:F995"/>
    <mergeCell ref="A997:F997"/>
    <mergeCell ref="A1000:F1000"/>
    <mergeCell ref="A1001:B1001"/>
    <mergeCell ref="A1002:B1002"/>
    <mergeCell ref="B1004:F1004"/>
    <mergeCell ref="A1034:F1034"/>
    <mergeCell ref="A1037:F1037"/>
    <mergeCell ref="A1038:B1038"/>
    <mergeCell ref="B1040:F1040"/>
    <mergeCell ref="A1042:F1042"/>
    <mergeCell ref="A1050:F1050"/>
    <mergeCell ref="A1022:F1022"/>
    <mergeCell ref="A1023:B1023"/>
    <mergeCell ref="A1024:B1024"/>
    <mergeCell ref="B1026:F1026"/>
    <mergeCell ref="A1028:F1028"/>
    <mergeCell ref="A1032:F1032"/>
    <mergeCell ref="A1066:F1066"/>
    <mergeCell ref="A1067:B1067"/>
    <mergeCell ref="A1068:B1068"/>
    <mergeCell ref="B1070:F1070"/>
    <mergeCell ref="A1072:F1072"/>
    <mergeCell ref="A1075:F1075"/>
    <mergeCell ref="A1056:F1056"/>
    <mergeCell ref="A1057:B1057"/>
    <mergeCell ref="A1058:B1058"/>
    <mergeCell ref="B1060:F1060"/>
    <mergeCell ref="A1062:F1062"/>
    <mergeCell ref="A1064:F1064"/>
    <mergeCell ref="A1098:F1098"/>
    <mergeCell ref="B1106:G1106"/>
    <mergeCell ref="B1107:C1107"/>
    <mergeCell ref="A1108:G1108"/>
    <mergeCell ref="B1109:C1109"/>
    <mergeCell ref="B1110:C1110"/>
    <mergeCell ref="A1077:B1077"/>
    <mergeCell ref="B1079:F1079"/>
    <mergeCell ref="A1081:F1081"/>
    <mergeCell ref="A1085:F1085"/>
    <mergeCell ref="B1092:F1092"/>
    <mergeCell ref="A1094:F1094"/>
    <mergeCell ref="A1117:G1117"/>
    <mergeCell ref="A1118:C1118"/>
    <mergeCell ref="A1119:C1119"/>
    <mergeCell ref="B1111:C1111"/>
    <mergeCell ref="B1112:C1112"/>
    <mergeCell ref="B1113:C1113"/>
    <mergeCell ref="A1114:G1114"/>
    <mergeCell ref="B1115:C1115"/>
    <mergeCell ref="B1116:C1116"/>
    <mergeCell ref="A1121:B1121"/>
    <mergeCell ref="C1121:F1121"/>
    <mergeCell ref="B1122:F1122"/>
    <mergeCell ref="A1124:F1124"/>
    <mergeCell ref="A1126:F1126"/>
    <mergeCell ref="A1129:F1129"/>
    <mergeCell ref="A1130:B1130"/>
    <mergeCell ref="A1131:B1131"/>
    <mergeCell ref="B1133:F1133"/>
    <mergeCell ref="A1135:F1135"/>
    <mergeCell ref="A1137:F1137"/>
    <mergeCell ref="A1140:F1140"/>
    <mergeCell ref="A1141:B1141"/>
    <mergeCell ref="A1142:B1142"/>
    <mergeCell ref="B1144:F1144"/>
    <mergeCell ref="A1146:F1146"/>
    <mergeCell ref="A1148:F1148"/>
    <mergeCell ref="A1151:F1151"/>
    <mergeCell ref="A1152:B1152"/>
    <mergeCell ref="A1153:B1153"/>
    <mergeCell ref="B1155:F1155"/>
    <mergeCell ref="A1157:F1157"/>
    <mergeCell ref="A1159:F1159"/>
    <mergeCell ref="A1162:F1162"/>
    <mergeCell ref="A1163:B1163"/>
    <mergeCell ref="A1164:B1164"/>
    <mergeCell ref="B1166:F1166"/>
    <mergeCell ref="A1191:B1191"/>
    <mergeCell ref="A1192:B1192"/>
    <mergeCell ref="B1194:F1194"/>
    <mergeCell ref="A1196:F1196"/>
    <mergeCell ref="A1200:F1200"/>
    <mergeCell ref="A1205:F1205"/>
    <mergeCell ref="A1206:B1206"/>
    <mergeCell ref="A1207:B1207"/>
    <mergeCell ref="A1168:F1168"/>
    <mergeCell ref="A1170:F1170"/>
    <mergeCell ref="A1173:F1173"/>
    <mergeCell ref="A1174:B1174"/>
    <mergeCell ref="A1175:B1175"/>
    <mergeCell ref="B1177:F1177"/>
    <mergeCell ref="A1179:F1179"/>
    <mergeCell ref="A1187:F1187"/>
    <mergeCell ref="A1190:F1190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 topLeftCell="A1">
      <selection activeCell="A1" sqref="A1:H8"/>
    </sheetView>
  </sheetViews>
  <sheetFormatPr defaultColWidth="9.140625" defaultRowHeight="12.75"/>
  <cols>
    <col min="3" max="3" width="15.57421875" style="0" customWidth="1"/>
    <col min="4" max="4" width="58.140625" style="0" customWidth="1"/>
    <col min="6" max="6" width="9.28125" style="0" customWidth="1"/>
    <col min="7" max="7" width="12.57421875" style="0" customWidth="1"/>
    <col min="8" max="8" width="13.57421875" style="0" customWidth="1"/>
  </cols>
  <sheetData>
    <row r="1" spans="1:8" ht="15">
      <c r="A1" s="418"/>
      <c r="B1" s="418"/>
      <c r="C1" s="798" t="s">
        <v>707</v>
      </c>
      <c r="D1" s="798"/>
      <c r="E1" s="798"/>
      <c r="F1" s="799"/>
      <c r="G1" s="799"/>
      <c r="H1" s="799"/>
    </row>
    <row r="2" spans="1:9" ht="12.75">
      <c r="A2" s="795" t="s">
        <v>0</v>
      </c>
      <c r="B2" s="796" t="s">
        <v>709</v>
      </c>
      <c r="C2" s="795" t="s">
        <v>708</v>
      </c>
      <c r="D2" s="795" t="s">
        <v>37</v>
      </c>
      <c r="E2" s="795" t="s">
        <v>1</v>
      </c>
      <c r="F2" s="795" t="s">
        <v>401</v>
      </c>
      <c r="G2" s="799" t="s">
        <v>710</v>
      </c>
      <c r="H2" s="795" t="s">
        <v>402</v>
      </c>
      <c r="I2">
        <v>1.27</v>
      </c>
    </row>
    <row r="3" spans="1:8" ht="12.75">
      <c r="A3" s="795"/>
      <c r="B3" s="797"/>
      <c r="C3" s="795"/>
      <c r="D3" s="795"/>
      <c r="E3" s="795"/>
      <c r="F3" s="795"/>
      <c r="G3" s="799" t="s">
        <v>403</v>
      </c>
      <c r="H3" s="795" t="s">
        <v>402</v>
      </c>
    </row>
    <row r="4" spans="1:8" ht="15">
      <c r="A4" s="300"/>
      <c r="B4" s="418"/>
      <c r="C4" s="300"/>
      <c r="D4" s="306"/>
      <c r="E4" s="301"/>
      <c r="F4" s="300"/>
      <c r="G4" s="300"/>
      <c r="H4" s="307"/>
    </row>
    <row r="5" spans="1:8" ht="15">
      <c r="A5" s="308" t="s">
        <v>2</v>
      </c>
      <c r="B5" s="418"/>
      <c r="C5" s="308"/>
      <c r="D5" s="309" t="s">
        <v>404</v>
      </c>
      <c r="E5" s="310"/>
      <c r="F5" s="311"/>
      <c r="G5" s="312"/>
      <c r="H5" s="313">
        <f>SUM(H6:H8)</f>
        <v>1758.3696000000002</v>
      </c>
    </row>
    <row r="6" spans="1:8" ht="28.5">
      <c r="A6" s="303" t="s">
        <v>3</v>
      </c>
      <c r="B6" s="418">
        <v>1530</v>
      </c>
      <c r="C6" s="303" t="s">
        <v>481</v>
      </c>
      <c r="D6" s="302" t="s">
        <v>405</v>
      </c>
      <c r="E6" s="616">
        <v>48</v>
      </c>
      <c r="F6" s="301" t="s">
        <v>26</v>
      </c>
      <c r="G6" s="304">
        <v>10.32</v>
      </c>
      <c r="H6" s="305">
        <f>E6*G6</f>
        <v>495.36</v>
      </c>
    </row>
    <row r="7" spans="1:8" ht="28.5">
      <c r="A7" s="303" t="s">
        <v>5</v>
      </c>
      <c r="B7" s="418">
        <v>1531</v>
      </c>
      <c r="C7" s="303" t="s">
        <v>481</v>
      </c>
      <c r="D7" s="302" t="s">
        <v>406</v>
      </c>
      <c r="E7" s="616">
        <v>32</v>
      </c>
      <c r="F7" s="301" t="s">
        <v>26</v>
      </c>
      <c r="G7" s="304">
        <f>'[2]Comp. Sanitária'!F56</f>
        <v>4.7538</v>
      </c>
      <c r="H7" s="305">
        <f aca="true" t="shared" si="0" ref="H7:H8">E7*G7</f>
        <v>152.1216</v>
      </c>
    </row>
    <row r="8" spans="1:8" ht="28.5">
      <c r="A8" s="303" t="s">
        <v>39</v>
      </c>
      <c r="B8" s="418">
        <v>89714</v>
      </c>
      <c r="C8" s="303" t="s">
        <v>419</v>
      </c>
      <c r="D8" s="302" t="s">
        <v>407</v>
      </c>
      <c r="E8" s="616">
        <v>120</v>
      </c>
      <c r="F8" s="301" t="s">
        <v>26</v>
      </c>
      <c r="G8" s="304">
        <f>'[2]Comp. Sanitária'!F70</f>
        <v>9.2574</v>
      </c>
      <c r="H8" s="305">
        <f t="shared" si="0"/>
        <v>1110.8880000000001</v>
      </c>
    </row>
  </sheetData>
  <mergeCells count="10">
    <mergeCell ref="A2:A3"/>
    <mergeCell ref="B2:B3"/>
    <mergeCell ref="C1:E1"/>
    <mergeCell ref="F1:H1"/>
    <mergeCell ref="C2:C3"/>
    <mergeCell ref="D2:D3"/>
    <mergeCell ref="E2:E3"/>
    <mergeCell ref="F2:F3"/>
    <mergeCell ref="G2:G3"/>
    <mergeCell ref="H2:H3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landscape" paperSize="9" r:id="rId1"/>
  <headerFooter>
    <oddHeader>&amp;LCCR CONSTRUÇÕES LTDA
CNPJ 633365720001-66
INSC. EST. 19417692-4
RUA SENADOR TEODORO PACHECO 988 SALA 910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 topLeftCell="A1">
      <selection activeCell="K8" sqref="K8"/>
    </sheetView>
  </sheetViews>
  <sheetFormatPr defaultColWidth="9.140625" defaultRowHeight="12.75"/>
  <cols>
    <col min="4" max="4" width="60.00390625" style="0" customWidth="1"/>
    <col min="6" max="6" width="10.8515625" style="0" customWidth="1"/>
    <col min="7" max="7" width="11.57421875" style="0" customWidth="1"/>
    <col min="8" max="8" width="11.28125" style="0" customWidth="1"/>
  </cols>
  <sheetData>
    <row r="1" spans="1:8" ht="15" thickBot="1">
      <c r="A1" s="326">
        <v>6</v>
      </c>
      <c r="B1" s="800" t="s">
        <v>960</v>
      </c>
      <c r="C1" s="801"/>
      <c r="D1" s="801"/>
      <c r="E1" s="330"/>
      <c r="F1" s="331"/>
      <c r="G1" s="331"/>
      <c r="H1" s="333">
        <f>ROUND(SUM(H3:H15),2)</f>
        <v>5622.07</v>
      </c>
    </row>
    <row r="2" spans="1:8" ht="28.5">
      <c r="A2" s="326"/>
      <c r="B2" s="327"/>
      <c r="C2" s="404" t="s">
        <v>541</v>
      </c>
      <c r="D2" s="404" t="s">
        <v>669</v>
      </c>
      <c r="E2" s="404" t="s">
        <v>545</v>
      </c>
      <c r="F2" s="404" t="s">
        <v>670</v>
      </c>
      <c r="G2" s="404" t="s">
        <v>671</v>
      </c>
      <c r="H2" s="405" t="s">
        <v>673</v>
      </c>
    </row>
    <row r="3" spans="1:8" ht="14.25">
      <c r="A3" s="334" t="s">
        <v>467</v>
      </c>
      <c r="B3" s="335">
        <v>89957</v>
      </c>
      <c r="C3" s="335" t="s">
        <v>419</v>
      </c>
      <c r="D3" s="336" t="s">
        <v>698</v>
      </c>
      <c r="E3" s="337" t="s">
        <v>468</v>
      </c>
      <c r="F3" s="338">
        <v>5</v>
      </c>
      <c r="G3" s="338">
        <v>81.53</v>
      </c>
      <c r="H3" s="339">
        <f>F3*G3</f>
        <v>407.65</v>
      </c>
    </row>
    <row r="4" spans="1:8" ht="14.25">
      <c r="A4" s="334" t="s">
        <v>469</v>
      </c>
      <c r="B4" s="335" t="s">
        <v>470</v>
      </c>
      <c r="C4" s="335" t="s">
        <v>471</v>
      </c>
      <c r="D4" s="336" t="s">
        <v>697</v>
      </c>
      <c r="E4" s="337" t="s">
        <v>468</v>
      </c>
      <c r="F4" s="338">
        <v>5</v>
      </c>
      <c r="G4" s="338">
        <v>134.21</v>
      </c>
      <c r="H4" s="339">
        <f aca="true" t="shared" si="0" ref="H4:H18">F4*G4</f>
        <v>671.0500000000001</v>
      </c>
    </row>
    <row r="5" spans="1:8" ht="28.5">
      <c r="A5" s="334" t="s">
        <v>474</v>
      </c>
      <c r="B5" s="335">
        <v>89984</v>
      </c>
      <c r="C5" s="335" t="s">
        <v>419</v>
      </c>
      <c r="D5" s="336" t="s">
        <v>475</v>
      </c>
      <c r="E5" s="337" t="s">
        <v>38</v>
      </c>
      <c r="F5" s="338">
        <v>1</v>
      </c>
      <c r="G5" s="338">
        <v>176.11</v>
      </c>
      <c r="H5" s="339">
        <f t="shared" si="0"/>
        <v>176.11</v>
      </c>
    </row>
    <row r="6" spans="1:8" ht="14.25">
      <c r="A6" s="334" t="s">
        <v>476</v>
      </c>
      <c r="B6" s="335">
        <v>86909</v>
      </c>
      <c r="C6" s="335" t="s">
        <v>419</v>
      </c>
      <c r="D6" s="336" t="s">
        <v>699</v>
      </c>
      <c r="E6" s="337" t="s">
        <v>38</v>
      </c>
      <c r="F6" s="338">
        <v>1</v>
      </c>
      <c r="G6" s="338">
        <v>72.43</v>
      </c>
      <c r="H6" s="339">
        <f t="shared" si="0"/>
        <v>72.43</v>
      </c>
    </row>
    <row r="7" spans="1:8" ht="14.25">
      <c r="A7" s="334" t="s">
        <v>477</v>
      </c>
      <c r="B7" s="335">
        <v>86906</v>
      </c>
      <c r="C7" s="335" t="s">
        <v>419</v>
      </c>
      <c r="D7" s="336" t="s">
        <v>478</v>
      </c>
      <c r="E7" s="337" t="s">
        <v>38</v>
      </c>
      <c r="F7" s="338">
        <v>2</v>
      </c>
      <c r="G7" s="338">
        <v>36.26</v>
      </c>
      <c r="H7" s="339">
        <f t="shared" si="0"/>
        <v>72.52</v>
      </c>
    </row>
    <row r="8" spans="1:8" ht="31.5">
      <c r="A8" s="334" t="s">
        <v>479</v>
      </c>
      <c r="B8" s="335">
        <v>2010</v>
      </c>
      <c r="C8" s="416" t="s">
        <v>481</v>
      </c>
      <c r="D8" s="416" t="s">
        <v>706</v>
      </c>
      <c r="E8" s="417" t="s">
        <v>38</v>
      </c>
      <c r="F8" s="338">
        <v>1</v>
      </c>
      <c r="G8" s="338">
        <v>214.29</v>
      </c>
      <c r="H8" s="339">
        <f t="shared" si="0"/>
        <v>214.29</v>
      </c>
    </row>
    <row r="9" spans="1:8" ht="28.5">
      <c r="A9" s="334" t="s">
        <v>480</v>
      </c>
      <c r="B9" s="335">
        <v>7350</v>
      </c>
      <c r="C9" s="335" t="s">
        <v>481</v>
      </c>
      <c r="D9" s="336" t="s">
        <v>482</v>
      </c>
      <c r="E9" s="337" t="s">
        <v>38</v>
      </c>
      <c r="F9" s="338">
        <v>1</v>
      </c>
      <c r="G9" s="338">
        <v>351.39</v>
      </c>
      <c r="H9" s="339">
        <f t="shared" si="0"/>
        <v>351.39</v>
      </c>
    </row>
    <row r="10" spans="1:8" ht="42.75">
      <c r="A10" s="334" t="s">
        <v>483</v>
      </c>
      <c r="B10" s="340" t="s">
        <v>78</v>
      </c>
      <c r="C10" s="335"/>
      <c r="D10" s="336" t="s">
        <v>484</v>
      </c>
      <c r="E10" s="337" t="s">
        <v>38</v>
      </c>
      <c r="F10" s="338">
        <v>2</v>
      </c>
      <c r="G10" s="338">
        <v>1147.16</v>
      </c>
      <c r="H10" s="339">
        <f t="shared" si="0"/>
        <v>2294.32</v>
      </c>
    </row>
    <row r="11" spans="1:8" ht="14.25">
      <c r="A11" s="334" t="s">
        <v>485</v>
      </c>
      <c r="B11" s="340">
        <v>3686</v>
      </c>
      <c r="C11" s="335" t="s">
        <v>481</v>
      </c>
      <c r="D11" s="415" t="s">
        <v>700</v>
      </c>
      <c r="E11" s="337" t="s">
        <v>38</v>
      </c>
      <c r="F11" s="338">
        <v>1</v>
      </c>
      <c r="G11" s="338">
        <v>84.27</v>
      </c>
      <c r="H11" s="339">
        <f t="shared" si="0"/>
        <v>84.27</v>
      </c>
    </row>
    <row r="12" spans="1:8" ht="14.25">
      <c r="A12" s="334" t="s">
        <v>487</v>
      </c>
      <c r="B12" s="340">
        <v>11232</v>
      </c>
      <c r="C12" s="335" t="s">
        <v>481</v>
      </c>
      <c r="D12" s="416" t="s">
        <v>701</v>
      </c>
      <c r="E12" s="417" t="s">
        <v>38</v>
      </c>
      <c r="F12" s="338">
        <v>2</v>
      </c>
      <c r="G12" s="338">
        <v>131.13</v>
      </c>
      <c r="H12" s="339">
        <f t="shared" si="0"/>
        <v>262.26</v>
      </c>
    </row>
    <row r="13" spans="1:8" ht="14.25">
      <c r="A13" s="334" t="s">
        <v>489</v>
      </c>
      <c r="B13" s="340" t="s">
        <v>702</v>
      </c>
      <c r="C13" s="335"/>
      <c r="D13" s="336" t="s">
        <v>490</v>
      </c>
      <c r="E13" s="337" t="s">
        <v>38</v>
      </c>
      <c r="F13" s="338">
        <v>2</v>
      </c>
      <c r="G13" s="338">
        <v>113.88</v>
      </c>
      <c r="H13" s="339">
        <f t="shared" si="0"/>
        <v>227.76</v>
      </c>
    </row>
    <row r="14" spans="1:8" ht="14.25">
      <c r="A14" s="334" t="s">
        <v>491</v>
      </c>
      <c r="B14" s="340" t="s">
        <v>702</v>
      </c>
      <c r="C14" s="335"/>
      <c r="D14" s="336" t="s">
        <v>492</v>
      </c>
      <c r="E14" s="337" t="s">
        <v>38</v>
      </c>
      <c r="F14" s="338">
        <v>2</v>
      </c>
      <c r="G14" s="338">
        <v>125.97</v>
      </c>
      <c r="H14" s="339">
        <f t="shared" si="0"/>
        <v>251.94</v>
      </c>
    </row>
    <row r="15" spans="1:8" ht="14.25">
      <c r="A15" s="334" t="s">
        <v>493</v>
      </c>
      <c r="B15" s="340" t="s">
        <v>702</v>
      </c>
      <c r="C15" s="335"/>
      <c r="D15" s="336" t="s">
        <v>494</v>
      </c>
      <c r="E15" s="337" t="s">
        <v>38</v>
      </c>
      <c r="F15" s="338">
        <v>4</v>
      </c>
      <c r="G15" s="338">
        <v>134.02</v>
      </c>
      <c r="H15" s="339">
        <f t="shared" si="0"/>
        <v>536.08</v>
      </c>
    </row>
    <row r="16" spans="1:8" ht="21">
      <c r="A16" s="418"/>
      <c r="B16" s="418">
        <v>86914</v>
      </c>
      <c r="C16" s="419" t="s">
        <v>419</v>
      </c>
      <c r="D16" s="420" t="s">
        <v>703</v>
      </c>
      <c r="E16" s="421" t="s">
        <v>38</v>
      </c>
      <c r="F16" s="338">
        <v>1</v>
      </c>
      <c r="G16" s="338">
        <v>29.04</v>
      </c>
      <c r="H16" s="339">
        <f t="shared" si="0"/>
        <v>29.04</v>
      </c>
    </row>
    <row r="17" spans="1:8" ht="31.5">
      <c r="A17" s="418"/>
      <c r="B17" s="418">
        <v>86923</v>
      </c>
      <c r="C17" s="420" t="s">
        <v>419</v>
      </c>
      <c r="D17" s="420" t="s">
        <v>704</v>
      </c>
      <c r="E17" s="421" t="s">
        <v>38</v>
      </c>
      <c r="F17" s="338">
        <v>1</v>
      </c>
      <c r="G17" s="338">
        <v>291.18</v>
      </c>
      <c r="H17" s="339">
        <f t="shared" si="0"/>
        <v>291.18</v>
      </c>
    </row>
    <row r="18" spans="1:8" ht="42">
      <c r="A18" s="418"/>
      <c r="B18" s="418">
        <v>2020</v>
      </c>
      <c r="C18" s="420" t="s">
        <v>481</v>
      </c>
      <c r="D18" s="420" t="s">
        <v>705</v>
      </c>
      <c r="E18" s="421" t="s">
        <v>38</v>
      </c>
      <c r="F18" s="418">
        <v>1</v>
      </c>
      <c r="G18" s="418">
        <v>374.59</v>
      </c>
      <c r="H18" s="339">
        <f t="shared" si="0"/>
        <v>374.59</v>
      </c>
    </row>
  </sheetData>
  <mergeCells count="1">
    <mergeCell ref="B1:D1"/>
  </mergeCells>
  <printOptions/>
  <pageMargins left="0.5118110236220472" right="0.5118110236220472" top="1.3779527559055118" bottom="0.7874015748031497" header="0.31496062992125984" footer="0.31496062992125984"/>
  <pageSetup horizontalDpi="600" verticalDpi="600" orientation="landscape" paperSize="9" r:id="rId1"/>
  <headerFooter>
    <oddHeader>&amp;LCCR CONSTRUÇÕES LTDA
CNPJ 633365720001-66
INSC. EST. 19417692-4
RUA SENADOR TEODORO PACHECO 988 SALA 910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 topLeftCell="A1">
      <selection activeCell="K12" sqref="K12"/>
    </sheetView>
  </sheetViews>
  <sheetFormatPr defaultColWidth="9.140625" defaultRowHeight="12.75"/>
  <cols>
    <col min="4" max="4" width="47.28125" style="0" customWidth="1"/>
    <col min="7" max="7" width="10.421875" style="0" customWidth="1"/>
    <col min="8" max="8" width="11.57421875" style="0" customWidth="1"/>
  </cols>
  <sheetData>
    <row r="1" spans="1:8" ht="15" thickBot="1">
      <c r="A1" s="326">
        <v>7</v>
      </c>
      <c r="B1" s="327" t="s">
        <v>495</v>
      </c>
      <c r="C1" s="328"/>
      <c r="D1" s="329"/>
      <c r="E1" s="330"/>
      <c r="F1" s="331"/>
      <c r="G1" s="331"/>
      <c r="H1" s="333">
        <f>ROUND(SUM(H3:H5),2)</f>
        <v>1380.49</v>
      </c>
    </row>
    <row r="2" spans="1:8" ht="42.75">
      <c r="A2" s="326"/>
      <c r="B2" s="591"/>
      <c r="C2" s="404" t="s">
        <v>541</v>
      </c>
      <c r="D2" s="404" t="s">
        <v>669</v>
      </c>
      <c r="E2" s="404" t="s">
        <v>545</v>
      </c>
      <c r="F2" s="404" t="s">
        <v>670</v>
      </c>
      <c r="G2" s="404" t="s">
        <v>671</v>
      </c>
      <c r="H2" s="405" t="s">
        <v>673</v>
      </c>
    </row>
    <row r="3" spans="1:8" ht="14.25">
      <c r="A3" s="334" t="s">
        <v>496</v>
      </c>
      <c r="B3" s="340">
        <v>90443</v>
      </c>
      <c r="C3" s="335" t="s">
        <v>419</v>
      </c>
      <c r="D3" s="336" t="s">
        <v>497</v>
      </c>
      <c r="E3" s="337" t="s">
        <v>26</v>
      </c>
      <c r="F3" s="338">
        <v>37.3</v>
      </c>
      <c r="G3" s="338">
        <v>7.67</v>
      </c>
      <c r="H3" s="339">
        <f>F3*G3</f>
        <v>286.09099999999995</v>
      </c>
    </row>
    <row r="4" spans="1:8" ht="28.5">
      <c r="A4" s="334" t="s">
        <v>498</v>
      </c>
      <c r="B4" s="340">
        <v>89865</v>
      </c>
      <c r="C4" s="335" t="s">
        <v>419</v>
      </c>
      <c r="D4" s="336" t="s">
        <v>499</v>
      </c>
      <c r="E4" s="337" t="s">
        <v>26</v>
      </c>
      <c r="F4" s="338">
        <v>72</v>
      </c>
      <c r="G4" s="338">
        <v>7.55</v>
      </c>
      <c r="H4" s="339">
        <f aca="true" t="shared" si="0" ref="H4:H5">F4*G4</f>
        <v>543.6</v>
      </c>
    </row>
    <row r="5" spans="1:8" ht="28.5">
      <c r="A5" s="334" t="s">
        <v>500</v>
      </c>
      <c r="B5" s="340">
        <v>90466</v>
      </c>
      <c r="C5" s="335" t="s">
        <v>419</v>
      </c>
      <c r="D5" s="336" t="s">
        <v>501</v>
      </c>
      <c r="E5" s="337" t="s">
        <v>26</v>
      </c>
      <c r="F5" s="338">
        <v>72</v>
      </c>
      <c r="G5" s="338">
        <v>7.65</v>
      </c>
      <c r="H5" s="339">
        <f t="shared" si="0"/>
        <v>550.8000000000001</v>
      </c>
    </row>
  </sheetData>
  <printOptions/>
  <pageMargins left="0.5118110236220472" right="0.5118110236220472" top="1.1811023622047245" bottom="0.7874015748031497" header="0.31496062992125984" footer="0.31496062992125984"/>
  <pageSetup horizontalDpi="600" verticalDpi="600" orientation="landscape" paperSize="9" r:id="rId1"/>
  <headerFooter>
    <oddHeader>&amp;LCCR CONSTRUÇÕES LTDA
CNPJ 633365720001-66
INSC. EST. 19417692-4
RUA SENADOR TEODORO PACHECO 988 SALA 910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 topLeftCell="A19">
      <selection activeCell="I33" sqref="I33"/>
    </sheetView>
  </sheetViews>
  <sheetFormatPr defaultColWidth="9.140625" defaultRowHeight="12.75"/>
  <cols>
    <col min="1" max="1" width="9.7109375" style="0" bestFit="1" customWidth="1"/>
    <col min="2" max="2" width="10.7109375" style="0" bestFit="1" customWidth="1"/>
    <col min="3" max="3" width="58.8515625" style="0" customWidth="1"/>
    <col min="5" max="5" width="10.7109375" style="0" customWidth="1"/>
    <col min="6" max="7" width="13.28125" style="0" customWidth="1"/>
  </cols>
  <sheetData>
    <row r="1" spans="3:7" ht="15" thickBot="1">
      <c r="C1" s="802" t="s">
        <v>502</v>
      </c>
      <c r="D1" s="803"/>
      <c r="E1" s="803"/>
      <c r="F1" s="803"/>
      <c r="G1" s="331"/>
    </row>
    <row r="2" spans="2:7" ht="28.5">
      <c r="B2" s="404" t="s">
        <v>541</v>
      </c>
      <c r="C2" s="404" t="s">
        <v>669</v>
      </c>
      <c r="D2" s="404" t="s">
        <v>545</v>
      </c>
      <c r="E2" s="404" t="s">
        <v>670</v>
      </c>
      <c r="F2" s="404" t="s">
        <v>671</v>
      </c>
      <c r="G2" s="405" t="s">
        <v>673</v>
      </c>
    </row>
    <row r="3" spans="1:7" ht="25.5">
      <c r="A3" s="527" t="s">
        <v>419</v>
      </c>
      <c r="B3" s="528">
        <v>91967</v>
      </c>
      <c r="C3" s="529" t="s">
        <v>876</v>
      </c>
      <c r="D3" s="528" t="s">
        <v>375</v>
      </c>
      <c r="E3" s="525">
        <v>6</v>
      </c>
      <c r="F3" s="525">
        <v>47.93</v>
      </c>
      <c r="G3" s="525">
        <f>E3*F3</f>
        <v>287.58</v>
      </c>
    </row>
    <row r="4" spans="1:7" ht="25.5">
      <c r="A4" s="527" t="s">
        <v>419</v>
      </c>
      <c r="B4" s="528">
        <v>92027</v>
      </c>
      <c r="C4" s="529" t="s">
        <v>877</v>
      </c>
      <c r="D4" s="528" t="s">
        <v>375</v>
      </c>
      <c r="E4" s="525">
        <v>10</v>
      </c>
      <c r="F4" s="525">
        <v>51.58</v>
      </c>
      <c r="G4" s="525">
        <f aca="true" t="shared" si="0" ref="G4:G32">E4*F4</f>
        <v>515.8</v>
      </c>
    </row>
    <row r="5" spans="1:7" ht="25.5">
      <c r="A5" s="527" t="s">
        <v>419</v>
      </c>
      <c r="B5" s="528">
        <v>91959</v>
      </c>
      <c r="C5" s="529" t="s">
        <v>878</v>
      </c>
      <c r="D5" s="528" t="s">
        <v>375</v>
      </c>
      <c r="E5" s="525">
        <v>15</v>
      </c>
      <c r="F5" s="525">
        <v>34.99</v>
      </c>
      <c r="G5" s="525">
        <f t="shared" si="0"/>
        <v>524.85</v>
      </c>
    </row>
    <row r="6" spans="1:7" ht="25.5">
      <c r="A6" s="527" t="s">
        <v>419</v>
      </c>
      <c r="B6" s="528">
        <v>91953</v>
      </c>
      <c r="C6" s="529" t="s">
        <v>879</v>
      </c>
      <c r="D6" s="528" t="s">
        <v>375</v>
      </c>
      <c r="E6" s="525">
        <v>10</v>
      </c>
      <c r="F6" s="525">
        <v>22.07</v>
      </c>
      <c r="G6" s="525">
        <f t="shared" si="0"/>
        <v>220.7</v>
      </c>
    </row>
    <row r="7" spans="1:7" ht="25.5">
      <c r="A7" s="527" t="s">
        <v>419</v>
      </c>
      <c r="B7" s="528">
        <v>91996</v>
      </c>
      <c r="C7" s="529" t="s">
        <v>880</v>
      </c>
      <c r="D7" s="528" t="s">
        <v>375</v>
      </c>
      <c r="E7" s="525">
        <v>20</v>
      </c>
      <c r="F7" s="525">
        <v>26.17</v>
      </c>
      <c r="G7" s="525">
        <f t="shared" si="0"/>
        <v>523.4000000000001</v>
      </c>
    </row>
    <row r="8" spans="1:7" ht="25.5">
      <c r="A8" s="527" t="s">
        <v>419</v>
      </c>
      <c r="B8" s="528">
        <v>92004</v>
      </c>
      <c r="C8" s="529" t="s">
        <v>881</v>
      </c>
      <c r="D8" s="528" t="s">
        <v>375</v>
      </c>
      <c r="E8" s="525">
        <v>10</v>
      </c>
      <c r="F8" s="525">
        <v>43.15</v>
      </c>
      <c r="G8" s="525">
        <f t="shared" si="0"/>
        <v>431.5</v>
      </c>
    </row>
    <row r="9" spans="1:7" ht="25.5">
      <c r="A9" s="527" t="s">
        <v>419</v>
      </c>
      <c r="B9" s="525" t="s">
        <v>882</v>
      </c>
      <c r="C9" s="529" t="s">
        <v>883</v>
      </c>
      <c r="D9" s="528" t="s">
        <v>375</v>
      </c>
      <c r="E9" s="525">
        <v>15</v>
      </c>
      <c r="F9" s="525">
        <v>13.52</v>
      </c>
      <c r="G9" s="525">
        <f t="shared" si="0"/>
        <v>202.79999999999998</v>
      </c>
    </row>
    <row r="10" spans="1:7" ht="25.5">
      <c r="A10" s="527" t="s">
        <v>419</v>
      </c>
      <c r="B10" s="525" t="s">
        <v>884</v>
      </c>
      <c r="C10" s="529" t="s">
        <v>885</v>
      </c>
      <c r="D10" s="528" t="s">
        <v>375</v>
      </c>
      <c r="E10" s="525">
        <v>2</v>
      </c>
      <c r="F10" s="525">
        <v>20.9</v>
      </c>
      <c r="G10" s="525">
        <f t="shared" si="0"/>
        <v>41.8</v>
      </c>
    </row>
    <row r="11" spans="1:7" ht="25.5">
      <c r="A11" s="527" t="s">
        <v>419</v>
      </c>
      <c r="B11" s="525" t="s">
        <v>886</v>
      </c>
      <c r="C11" s="529" t="s">
        <v>887</v>
      </c>
      <c r="D11" s="528" t="s">
        <v>375</v>
      </c>
      <c r="E11" s="525">
        <v>3</v>
      </c>
      <c r="F11" s="525">
        <v>88.46</v>
      </c>
      <c r="G11" s="525">
        <f t="shared" si="0"/>
        <v>265.38</v>
      </c>
    </row>
    <row r="12" spans="1:7" ht="25.5">
      <c r="A12" s="527" t="s">
        <v>419</v>
      </c>
      <c r="B12" s="525" t="s">
        <v>888</v>
      </c>
      <c r="C12" s="529" t="s">
        <v>889</v>
      </c>
      <c r="D12" s="528" t="s">
        <v>375</v>
      </c>
      <c r="E12" s="525">
        <v>1</v>
      </c>
      <c r="F12" s="525">
        <v>118.35</v>
      </c>
      <c r="G12" s="525">
        <f t="shared" si="0"/>
        <v>118.35</v>
      </c>
    </row>
    <row r="13" spans="1:7" ht="16.5" customHeight="1">
      <c r="A13" s="527" t="s">
        <v>419</v>
      </c>
      <c r="B13" s="528">
        <v>83469</v>
      </c>
      <c r="C13" s="529" t="s">
        <v>890</v>
      </c>
      <c r="D13" s="528" t="s">
        <v>375</v>
      </c>
      <c r="E13" s="525">
        <v>40</v>
      </c>
      <c r="F13" s="526">
        <v>9.2</v>
      </c>
      <c r="G13" s="525">
        <f t="shared" si="0"/>
        <v>368</v>
      </c>
    </row>
    <row r="14" spans="1:7" ht="25.5">
      <c r="A14" s="527" t="s">
        <v>419</v>
      </c>
      <c r="B14" s="528">
        <v>83391</v>
      </c>
      <c r="C14" s="529" t="s">
        <v>891</v>
      </c>
      <c r="D14" s="528" t="s">
        <v>375</v>
      </c>
      <c r="E14" s="525">
        <v>20</v>
      </c>
      <c r="F14" s="525">
        <v>27.38</v>
      </c>
      <c r="G14" s="525">
        <f t="shared" si="0"/>
        <v>547.6</v>
      </c>
    </row>
    <row r="15" spans="1:7" ht="25.5">
      <c r="A15" s="527" t="s">
        <v>419</v>
      </c>
      <c r="B15" s="528">
        <v>91926</v>
      </c>
      <c r="C15" s="529" t="s">
        <v>892</v>
      </c>
      <c r="D15" s="529" t="s">
        <v>63</v>
      </c>
      <c r="E15" s="525">
        <v>1500</v>
      </c>
      <c r="F15" s="526">
        <v>2.23</v>
      </c>
      <c r="G15" s="525">
        <f t="shared" si="0"/>
        <v>3345</v>
      </c>
    </row>
    <row r="16" spans="1:7" ht="25.5">
      <c r="A16" s="527" t="s">
        <v>419</v>
      </c>
      <c r="B16" s="528">
        <v>91928</v>
      </c>
      <c r="C16" s="529" t="s">
        <v>893</v>
      </c>
      <c r="D16" s="528" t="s">
        <v>63</v>
      </c>
      <c r="E16" s="525">
        <v>400</v>
      </c>
      <c r="F16" s="526">
        <v>5.12</v>
      </c>
      <c r="G16" s="525">
        <f t="shared" si="0"/>
        <v>2048</v>
      </c>
    </row>
    <row r="17" spans="1:7" ht="25.5">
      <c r="A17" s="527" t="s">
        <v>419</v>
      </c>
      <c r="B17" s="528">
        <v>91930</v>
      </c>
      <c r="C17" s="529" t="s">
        <v>894</v>
      </c>
      <c r="D17" s="528" t="s">
        <v>63</v>
      </c>
      <c r="E17" s="525">
        <v>200</v>
      </c>
      <c r="F17" s="526">
        <v>6.06</v>
      </c>
      <c r="G17" s="525">
        <f t="shared" si="0"/>
        <v>1212</v>
      </c>
    </row>
    <row r="18" spans="1:7" ht="25.5">
      <c r="A18" s="527" t="s">
        <v>419</v>
      </c>
      <c r="B18" s="528">
        <v>91873</v>
      </c>
      <c r="C18" s="529" t="s">
        <v>895</v>
      </c>
      <c r="D18" s="528" t="s">
        <v>63</v>
      </c>
      <c r="E18" s="525">
        <v>30</v>
      </c>
      <c r="F18" s="525">
        <v>13.28</v>
      </c>
      <c r="G18" s="525">
        <f t="shared" si="0"/>
        <v>398.4</v>
      </c>
    </row>
    <row r="19" spans="1:7" ht="25.5">
      <c r="A19" s="527" t="s">
        <v>419</v>
      </c>
      <c r="B19" s="528">
        <v>93008</v>
      </c>
      <c r="C19" s="529" t="s">
        <v>896</v>
      </c>
      <c r="D19" s="528" t="s">
        <v>63</v>
      </c>
      <c r="E19" s="525">
        <v>30</v>
      </c>
      <c r="F19" s="525">
        <v>10.01</v>
      </c>
      <c r="G19" s="525">
        <f t="shared" si="0"/>
        <v>300.3</v>
      </c>
    </row>
    <row r="20" spans="1:7" ht="25.5">
      <c r="A20" s="527" t="s">
        <v>419</v>
      </c>
      <c r="B20" s="528">
        <v>93010</v>
      </c>
      <c r="C20" s="529" t="s">
        <v>897</v>
      </c>
      <c r="D20" s="528" t="s">
        <v>63</v>
      </c>
      <c r="E20" s="526" t="s">
        <v>898</v>
      </c>
      <c r="F20" s="525">
        <v>19.54</v>
      </c>
      <c r="G20" s="525">
        <f t="shared" si="0"/>
        <v>175.85999999999999</v>
      </c>
    </row>
    <row r="21" spans="1:7" ht="25.5">
      <c r="A21" s="527" t="s">
        <v>419</v>
      </c>
      <c r="B21" s="528">
        <v>93012</v>
      </c>
      <c r="C21" s="529" t="s">
        <v>899</v>
      </c>
      <c r="D21" s="528" t="s">
        <v>63</v>
      </c>
      <c r="E21" s="526" t="s">
        <v>898</v>
      </c>
      <c r="F21" s="525">
        <v>35.11</v>
      </c>
      <c r="G21" s="525">
        <f t="shared" si="0"/>
        <v>315.99</v>
      </c>
    </row>
    <row r="22" spans="1:7" ht="25.5">
      <c r="A22" s="527" t="s">
        <v>419</v>
      </c>
      <c r="B22" s="528">
        <v>91854</v>
      </c>
      <c r="C22" s="529" t="s">
        <v>900</v>
      </c>
      <c r="D22" s="528" t="s">
        <v>63</v>
      </c>
      <c r="E22" s="525">
        <v>100</v>
      </c>
      <c r="F22" s="526">
        <v>6.74</v>
      </c>
      <c r="G22" s="525">
        <f t="shared" si="0"/>
        <v>674</v>
      </c>
    </row>
    <row r="23" spans="1:7" ht="25.5">
      <c r="A23" s="527" t="s">
        <v>419</v>
      </c>
      <c r="B23" s="528">
        <v>91932</v>
      </c>
      <c r="C23" s="529" t="s">
        <v>901</v>
      </c>
      <c r="D23" s="528" t="s">
        <v>63</v>
      </c>
      <c r="E23" s="525">
        <v>100</v>
      </c>
      <c r="F23" s="525">
        <v>10.02</v>
      </c>
      <c r="G23" s="525">
        <f t="shared" si="0"/>
        <v>1002</v>
      </c>
    </row>
    <row r="24" spans="1:7" ht="25.5">
      <c r="A24" s="527" t="s">
        <v>419</v>
      </c>
      <c r="B24" s="528">
        <v>91934</v>
      </c>
      <c r="C24" s="529" t="s">
        <v>902</v>
      </c>
      <c r="D24" s="528" t="s">
        <v>63</v>
      </c>
      <c r="E24" s="525">
        <v>100</v>
      </c>
      <c r="F24" s="525">
        <v>19.32</v>
      </c>
      <c r="G24" s="525">
        <f t="shared" si="0"/>
        <v>1932</v>
      </c>
    </row>
    <row r="25" spans="1:7" ht="25.5">
      <c r="A25" s="527" t="s">
        <v>419</v>
      </c>
      <c r="B25" s="528">
        <v>92983</v>
      </c>
      <c r="C25" s="529" t="s">
        <v>903</v>
      </c>
      <c r="D25" s="528" t="s">
        <v>63</v>
      </c>
      <c r="E25" s="525">
        <v>100</v>
      </c>
      <c r="F25" s="525">
        <v>16.85</v>
      </c>
      <c r="G25" s="525">
        <f t="shared" si="0"/>
        <v>1685.0000000000002</v>
      </c>
    </row>
    <row r="26" spans="1:7" ht="25.5">
      <c r="A26" s="527" t="s">
        <v>419</v>
      </c>
      <c r="B26" s="528">
        <v>91943</v>
      </c>
      <c r="C26" s="529" t="s">
        <v>904</v>
      </c>
      <c r="D26" s="528" t="s">
        <v>375</v>
      </c>
      <c r="E26" s="526">
        <v>50</v>
      </c>
      <c r="F26" s="525">
        <v>15.36</v>
      </c>
      <c r="G26" s="525">
        <f t="shared" si="0"/>
        <v>768</v>
      </c>
    </row>
    <row r="27" spans="1:7" ht="25.5">
      <c r="A27" s="527" t="s">
        <v>419</v>
      </c>
      <c r="B27" s="528">
        <v>91941</v>
      </c>
      <c r="C27" s="529" t="s">
        <v>905</v>
      </c>
      <c r="D27" s="528" t="s">
        <v>375</v>
      </c>
      <c r="E27" s="525">
        <v>30</v>
      </c>
      <c r="F27" s="526">
        <v>7.96</v>
      </c>
      <c r="G27" s="525">
        <f t="shared" si="0"/>
        <v>238.8</v>
      </c>
    </row>
    <row r="28" spans="1:7" ht="25.5">
      <c r="A28" s="527" t="s">
        <v>419</v>
      </c>
      <c r="B28" s="528">
        <v>91937</v>
      </c>
      <c r="C28" s="529" t="s">
        <v>906</v>
      </c>
      <c r="D28" s="528" t="s">
        <v>375</v>
      </c>
      <c r="E28" s="525">
        <v>30</v>
      </c>
      <c r="F28" s="526">
        <v>9.03</v>
      </c>
      <c r="G28" s="525">
        <f t="shared" si="0"/>
        <v>270.9</v>
      </c>
    </row>
    <row r="29" spans="1:7" ht="25.5">
      <c r="A29" s="527" t="s">
        <v>419</v>
      </c>
      <c r="B29" s="525" t="s">
        <v>907</v>
      </c>
      <c r="C29" s="529" t="s">
        <v>908</v>
      </c>
      <c r="D29" s="528" t="s">
        <v>375</v>
      </c>
      <c r="E29" s="526">
        <v>1</v>
      </c>
      <c r="F29" s="525">
        <v>359.3</v>
      </c>
      <c r="G29" s="525">
        <f t="shared" si="0"/>
        <v>359.3</v>
      </c>
    </row>
    <row r="30" spans="1:7" ht="14.25">
      <c r="A30" s="530" t="s">
        <v>419</v>
      </c>
      <c r="B30" s="531">
        <v>739534</v>
      </c>
      <c r="C30" s="533" t="s">
        <v>694</v>
      </c>
      <c r="D30" s="532" t="s">
        <v>38</v>
      </c>
      <c r="E30" s="338">
        <v>12</v>
      </c>
      <c r="F30" s="338">
        <v>137.81</v>
      </c>
      <c r="G30" s="525">
        <f t="shared" si="0"/>
        <v>1653.72</v>
      </c>
    </row>
    <row r="31" spans="1:7" ht="14.25">
      <c r="A31" s="530" t="s">
        <v>419</v>
      </c>
      <c r="B31" s="531">
        <v>739538</v>
      </c>
      <c r="C31" s="533" t="s">
        <v>695</v>
      </c>
      <c r="D31" s="532" t="s">
        <v>38</v>
      </c>
      <c r="E31" s="338">
        <v>28</v>
      </c>
      <c r="F31" s="338">
        <v>184.28</v>
      </c>
      <c r="G31" s="525">
        <f t="shared" si="0"/>
        <v>5159.84</v>
      </c>
    </row>
    <row r="32" spans="1:7" ht="42.75">
      <c r="A32" s="608" t="s">
        <v>506</v>
      </c>
      <c r="B32" s="609" t="s">
        <v>471</v>
      </c>
      <c r="C32" s="610" t="s">
        <v>507</v>
      </c>
      <c r="D32" s="611" t="s">
        <v>38</v>
      </c>
      <c r="E32" s="612">
        <v>8</v>
      </c>
      <c r="F32" s="612">
        <v>166.4</v>
      </c>
      <c r="G32" s="613">
        <f t="shared" si="0"/>
        <v>1331.2</v>
      </c>
    </row>
    <row r="33" spans="1:7" ht="12.75">
      <c r="A33" s="614"/>
      <c r="B33" s="614"/>
      <c r="C33" s="614"/>
      <c r="D33" s="614"/>
      <c r="E33" s="614"/>
      <c r="F33" s="614"/>
      <c r="G33" s="614">
        <f>SUM(G3:G32)</f>
        <v>26918.070000000003</v>
      </c>
    </row>
    <row r="34" spans="1:7" ht="12.75">
      <c r="A34" s="319"/>
      <c r="B34" s="319"/>
      <c r="C34" s="319"/>
      <c r="D34" s="319"/>
      <c r="E34" s="319"/>
      <c r="F34" s="319"/>
      <c r="G34" s="319"/>
    </row>
    <row r="35" spans="1:7" ht="12.75">
      <c r="A35" s="319"/>
      <c r="B35" s="319"/>
      <c r="C35" s="319"/>
      <c r="D35" s="319"/>
      <c r="E35" s="319"/>
      <c r="F35" s="319"/>
      <c r="G35" s="319"/>
    </row>
    <row r="36" spans="1:7" ht="12.75">
      <c r="A36" s="319"/>
      <c r="B36" s="319"/>
      <c r="C36" s="319"/>
      <c r="D36" s="319"/>
      <c r="E36" s="319"/>
      <c r="F36" s="319"/>
      <c r="G36" s="319"/>
    </row>
    <row r="37" spans="1:7" ht="12.75">
      <c r="A37" s="319"/>
      <c r="B37" s="319"/>
      <c r="C37" s="319"/>
      <c r="D37" s="319"/>
      <c r="E37" s="319"/>
      <c r="F37" s="319"/>
      <c r="G37" s="319"/>
    </row>
    <row r="38" spans="1:7" ht="12.75">
      <c r="A38" s="319"/>
      <c r="B38" s="319"/>
      <c r="C38" s="319"/>
      <c r="D38" s="319"/>
      <c r="E38" s="319"/>
      <c r="F38" s="319"/>
      <c r="G38" s="319"/>
    </row>
    <row r="39" spans="1:7" ht="12.75">
      <c r="A39" s="319"/>
      <c r="B39" s="319"/>
      <c r="C39" s="319"/>
      <c r="D39" s="319"/>
      <c r="E39" s="319"/>
      <c r="F39" s="319"/>
      <c r="G39" s="319"/>
    </row>
    <row r="40" spans="1:7" ht="12.75">
      <c r="A40" s="319"/>
      <c r="B40" s="319"/>
      <c r="C40" s="319"/>
      <c r="D40" s="319"/>
      <c r="E40" s="319"/>
      <c r="F40" s="319"/>
      <c r="G40" s="319"/>
    </row>
    <row r="41" spans="1:7" ht="12.75">
      <c r="A41" s="319"/>
      <c r="B41" s="319"/>
      <c r="C41" s="319"/>
      <c r="D41" s="319"/>
      <c r="E41" s="319"/>
      <c r="F41" s="319"/>
      <c r="G41" s="319"/>
    </row>
    <row r="42" spans="1:7" ht="12.75">
      <c r="A42" s="319"/>
      <c r="B42" s="319"/>
      <c r="C42" s="319"/>
      <c r="D42" s="319"/>
      <c r="E42" s="319"/>
      <c r="F42" s="319"/>
      <c r="G42" s="319"/>
    </row>
    <row r="43" spans="1:7" ht="12.75">
      <c r="A43" s="319"/>
      <c r="B43" s="319"/>
      <c r="C43" s="319"/>
      <c r="D43" s="319"/>
      <c r="E43" s="319"/>
      <c r="F43" s="319"/>
      <c r="G43" s="319"/>
    </row>
    <row r="44" spans="1:7" ht="12.75">
      <c r="A44" s="319"/>
      <c r="B44" s="319"/>
      <c r="C44" s="319"/>
      <c r="D44" s="319"/>
      <c r="E44" s="319"/>
      <c r="F44" s="319"/>
      <c r="G44" s="319"/>
    </row>
    <row r="45" spans="1:7" ht="12.75">
      <c r="A45" s="319"/>
      <c r="B45" s="319"/>
      <c r="C45" s="319"/>
      <c r="D45" s="319"/>
      <c r="E45" s="319"/>
      <c r="F45" s="319"/>
      <c r="G45" s="319"/>
    </row>
    <row r="46" spans="1:7" ht="12.75">
      <c r="A46" s="319"/>
      <c r="B46" s="319"/>
      <c r="C46" s="319"/>
      <c r="D46" s="319"/>
      <c r="E46" s="319"/>
      <c r="F46" s="319"/>
      <c r="G46" s="319"/>
    </row>
    <row r="47" spans="1:7" ht="12.75">
      <c r="A47" s="319"/>
      <c r="B47" s="319"/>
      <c r="C47" s="319"/>
      <c r="D47" s="319"/>
      <c r="E47" s="319"/>
      <c r="F47" s="319"/>
      <c r="G47" s="319"/>
    </row>
    <row r="48" spans="1:7" ht="12.75">
      <c r="A48" s="319"/>
      <c r="B48" s="319"/>
      <c r="C48" s="319"/>
      <c r="D48" s="319"/>
      <c r="E48" s="319"/>
      <c r="F48" s="319"/>
      <c r="G48" s="319"/>
    </row>
    <row r="49" spans="1:7" ht="12.75">
      <c r="A49" s="319"/>
      <c r="B49" s="319"/>
      <c r="C49" s="319"/>
      <c r="D49" s="319"/>
      <c r="E49" s="319"/>
      <c r="F49" s="319"/>
      <c r="G49" s="319"/>
    </row>
    <row r="50" spans="1:7" ht="12.75">
      <c r="A50" s="319"/>
      <c r="B50" s="319"/>
      <c r="C50" s="319"/>
      <c r="D50" s="319"/>
      <c r="E50" s="319"/>
      <c r="F50" s="319"/>
      <c r="G50" s="319"/>
    </row>
    <row r="51" spans="1:7" ht="12.75">
      <c r="A51" s="319"/>
      <c r="B51" s="319"/>
      <c r="C51" s="319"/>
      <c r="D51" s="319"/>
      <c r="E51" s="319"/>
      <c r="F51" s="319"/>
      <c r="G51" s="319"/>
    </row>
    <row r="52" spans="1:7" ht="12.75">
      <c r="A52" s="319"/>
      <c r="B52" s="319"/>
      <c r="C52" s="319"/>
      <c r="D52" s="319"/>
      <c r="E52" s="319"/>
      <c r="F52" s="319"/>
      <c r="G52" s="319"/>
    </row>
    <row r="53" spans="1:7" ht="12.75">
      <c r="A53" s="319"/>
      <c r="B53" s="319"/>
      <c r="C53" s="319"/>
      <c r="D53" s="319"/>
      <c r="E53" s="319"/>
      <c r="F53" s="319"/>
      <c r="G53" s="319"/>
    </row>
    <row r="54" spans="1:7" ht="12.75">
      <c r="A54" s="319"/>
      <c r="B54" s="319"/>
      <c r="C54" s="319"/>
      <c r="D54" s="319"/>
      <c r="E54" s="319"/>
      <c r="F54" s="319"/>
      <c r="G54" s="319"/>
    </row>
    <row r="55" spans="1:7" ht="12.75">
      <c r="A55" s="319"/>
      <c r="B55" s="319"/>
      <c r="C55" s="319"/>
      <c r="D55" s="319"/>
      <c r="E55" s="319"/>
      <c r="F55" s="319"/>
      <c r="G55" s="319"/>
    </row>
    <row r="56" spans="1:7" ht="12.75">
      <c r="A56" s="319"/>
      <c r="B56" s="319"/>
      <c r="C56" s="319"/>
      <c r="D56" s="319"/>
      <c r="E56" s="319"/>
      <c r="F56" s="319"/>
      <c r="G56" s="319"/>
    </row>
    <row r="57" spans="1:7" ht="12.75">
      <c r="A57" s="319"/>
      <c r="B57" s="319"/>
      <c r="C57" s="319"/>
      <c r="D57" s="319"/>
      <c r="E57" s="319"/>
      <c r="F57" s="319"/>
      <c r="G57" s="319"/>
    </row>
    <row r="58" spans="1:7" ht="12.75">
      <c r="A58" s="319"/>
      <c r="B58" s="319"/>
      <c r="C58" s="319"/>
      <c r="D58" s="319"/>
      <c r="E58" s="319"/>
      <c r="F58" s="319"/>
      <c r="G58" s="319"/>
    </row>
    <row r="59" spans="1:7" ht="12.75">
      <c r="A59" s="319"/>
      <c r="B59" s="319"/>
      <c r="C59" s="319"/>
      <c r="D59" s="319"/>
      <c r="E59" s="319"/>
      <c r="F59" s="319"/>
      <c r="G59" s="319"/>
    </row>
    <row r="60" spans="1:7" ht="12.75">
      <c r="A60" s="319"/>
      <c r="B60" s="319"/>
      <c r="C60" s="319"/>
      <c r="D60" s="319"/>
      <c r="E60" s="319"/>
      <c r="F60" s="319"/>
      <c r="G60" s="319"/>
    </row>
    <row r="61" spans="1:7" ht="12.75">
      <c r="A61" s="319"/>
      <c r="B61" s="319"/>
      <c r="C61" s="319"/>
      <c r="D61" s="319"/>
      <c r="E61" s="319"/>
      <c r="F61" s="319"/>
      <c r="G61" s="319"/>
    </row>
    <row r="62" spans="1:7" ht="12.75">
      <c r="A62" s="319"/>
      <c r="B62" s="319"/>
      <c r="C62" s="319"/>
      <c r="D62" s="319"/>
      <c r="E62" s="319"/>
      <c r="F62" s="319"/>
      <c r="G62" s="319"/>
    </row>
    <row r="63" spans="1:7" ht="12.75">
      <c r="A63" s="319"/>
      <c r="B63" s="319"/>
      <c r="C63" s="319"/>
      <c r="D63" s="319"/>
      <c r="E63" s="319"/>
      <c r="F63" s="319"/>
      <c r="G63" s="319"/>
    </row>
    <row r="64" spans="1:7" ht="12.75">
      <c r="A64" s="319"/>
      <c r="B64" s="319"/>
      <c r="C64" s="319"/>
      <c r="D64" s="319"/>
      <c r="E64" s="319"/>
      <c r="F64" s="319"/>
      <c r="G64" s="319"/>
    </row>
    <row r="65" spans="1:7" ht="12.75">
      <c r="A65" s="319"/>
      <c r="B65" s="319"/>
      <c r="C65" s="319"/>
      <c r="D65" s="319"/>
      <c r="E65" s="319"/>
      <c r="F65" s="319"/>
      <c r="G65" s="319"/>
    </row>
    <row r="66" spans="1:7" ht="12.75">
      <c r="A66" s="319"/>
      <c r="B66" s="319"/>
      <c r="C66" s="319"/>
      <c r="D66" s="319"/>
      <c r="E66" s="319"/>
      <c r="F66" s="319"/>
      <c r="G66" s="319"/>
    </row>
    <row r="67" spans="1:7" ht="12.75">
      <c r="A67" s="319"/>
      <c r="B67" s="319"/>
      <c r="C67" s="319"/>
      <c r="D67" s="319"/>
      <c r="E67" s="319"/>
      <c r="F67" s="319"/>
      <c r="G67" s="319"/>
    </row>
    <row r="68" spans="1:7" ht="12.75">
      <c r="A68" s="319"/>
      <c r="B68" s="319"/>
      <c r="C68" s="319"/>
      <c r="D68" s="319"/>
      <c r="E68" s="319"/>
      <c r="F68" s="319"/>
      <c r="G68" s="319"/>
    </row>
  </sheetData>
  <mergeCells count="1">
    <mergeCell ref="C1:F1"/>
  </mergeCells>
  <printOptions/>
  <pageMargins left="0.5118110236220472" right="0.5118110236220472" top="1.1811023622047245" bottom="0.7874015748031497" header="0.31496062992125984" footer="0.31496062992125984"/>
  <pageSetup horizontalDpi="600" verticalDpi="600" orientation="landscape" paperSize="9" r:id="rId1"/>
  <headerFooter>
    <oddHeader>&amp;LCCR CONSTRUÇÕES LTDA
CNPJ 633365720001-66
INSC. EST. 19417692-4
RUA SENADOR TEODORO PACHEDCO 988 SALA  910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Empírica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Lauro César</cp:lastModifiedBy>
  <cp:lastPrinted>2017-09-05T19:11:00Z</cp:lastPrinted>
  <dcterms:created xsi:type="dcterms:W3CDTF">2009-12-12T16:36:01Z</dcterms:created>
  <dcterms:modified xsi:type="dcterms:W3CDTF">2017-09-06T15:57:02Z</dcterms:modified>
  <cp:category/>
  <cp:version/>
  <cp:contentType/>
  <cp:contentStatus/>
</cp:coreProperties>
</file>